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dc4718\Downloads\"/>
    </mc:Choice>
  </mc:AlternateContent>
  <xr:revisionPtr revIDLastSave="0" documentId="13_ncr:1_{F742C9D5-4946-4E08-AD9C-0F8825E96A69}" xr6:coauthVersionLast="47" xr6:coauthVersionMax="47" xr10:uidLastSave="{00000000-0000-0000-0000-000000000000}"/>
  <bookViews>
    <workbookView xWindow="-110" yWindow="-110" windowWidth="19420" windowHeight="10560" activeTab="3" xr2:uid="{00000000-000D-0000-FFFF-FFFF00000000}"/>
  </bookViews>
  <sheets>
    <sheet name="Project Overview" sheetId="1" r:id="rId1"/>
    <sheet name="Instructions" sheetId="2" r:id="rId2"/>
    <sheet name="Guidance" sheetId="3" r:id="rId3"/>
    <sheet name="Financial Benefit Summary" sheetId="4" r:id="rId4"/>
    <sheet name="1.Red. Purch. Cost Patient Care" sheetId="5" r:id="rId5"/>
    <sheet name="1.Red. Purch. Cost Surgical" sheetId="6" r:id="rId6"/>
    <sheet name="1.Red. Purch. Cost Vasc." sheetId="7" r:id="rId7"/>
    <sheet name="OLD Purchase Cost Surgica" sheetId="8" state="hidden" r:id="rId8"/>
    <sheet name="Red. Purch. Cost Patient Care-N" sheetId="9" r:id="rId9"/>
    <sheet name="Red. Purch. Cost Surgical-New" sheetId="10" r:id="rId10"/>
    <sheet name="Red. Purch. Cost Vascular-New" sheetId="11" r:id="rId11"/>
    <sheet name="2.Red.Waste&amp;CreditPatient Care" sheetId="12" r:id="rId12"/>
    <sheet name="1.Red. Purchase Cost Vasc." sheetId="13" state="hidden" r:id="rId13"/>
    <sheet name="2.Red.Waste&amp;Credit Surgical" sheetId="14" r:id="rId14"/>
    <sheet name="2.Red.Waste&amp;Credit Vascular" sheetId="15" r:id="rId15"/>
    <sheet name="3.Red.Emission Patient Care " sheetId="16" r:id="rId16"/>
    <sheet name="3.Red.Emission Surgical" sheetId="17" r:id="rId17"/>
    <sheet name="3.Red.Emission Vasc" sheetId="18" r:id="rId18"/>
    <sheet name="4. Supply Resiliency" sheetId="19" r:id="rId19"/>
    <sheet name="5. Ongoing Operating Costs" sheetId="20" r:id="rId20"/>
    <sheet name="Emission workings" sheetId="21" state="hidden" r:id="rId21"/>
    <sheet name="Links" sheetId="22" state="hidden" r:id="rId22"/>
    <sheet name="Patient Care items(onlyStryker)" sheetId="23" state="hidden" r:id="rId23"/>
    <sheet name="2022 (Stryker data)" sheetId="24" state="hidden" r:id="rId24"/>
    <sheet name="Stryker Data(19-21)" sheetId="25" state="hidden" r:id="rId25"/>
    <sheet name="Sheet1" sheetId="26" state="hidden" r:id="rId26"/>
    <sheet name="Patient Care items(all)" sheetId="27" state="hidden" r:id="rId27"/>
    <sheet name="Surgical items analysis" sheetId="28" state="hidden" r:id="rId28"/>
    <sheet name="Vasc. Items analysis" sheetId="29" state="hidden" r:id="rId29"/>
    <sheet name="Total Devices spend and share" sheetId="30" state="hidden" r:id="rId30"/>
    <sheet name="Total S&amp;Vdevices" sheetId="31" state="hidden" r:id="rId31"/>
    <sheet name="Data from PGH" sheetId="32" state="hidden" r:id="rId32"/>
  </sheets>
  <externalReferences>
    <externalReference r:id="rId3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6" roundtripDataChecksum="Me1oW/9ZnUqDJy5hLQcy0uc+eLGUiHuOCniFRKYPqYk="/>
    </ext>
  </extLst>
</workbook>
</file>

<file path=xl/calcChain.xml><?xml version="1.0" encoding="utf-8"?>
<calcChain xmlns="http://schemas.openxmlformats.org/spreadsheetml/2006/main">
  <c r="F53" i="31" l="1"/>
  <c r="J53" i="31" s="1"/>
  <c r="E53" i="31"/>
  <c r="D53" i="31"/>
  <c r="F52" i="31"/>
  <c r="J52" i="31" s="1"/>
  <c r="E52" i="31"/>
  <c r="D52" i="31"/>
  <c r="F51" i="31"/>
  <c r="J51" i="31" s="1"/>
  <c r="E51" i="31"/>
  <c r="D51" i="31"/>
  <c r="F50" i="31"/>
  <c r="J50" i="31" s="1"/>
  <c r="E50" i="31"/>
  <c r="D50" i="31"/>
  <c r="F49" i="31"/>
  <c r="J49" i="31" s="1"/>
  <c r="E49" i="31"/>
  <c r="D49" i="31"/>
  <c r="F48" i="31"/>
  <c r="J48" i="31" s="1"/>
  <c r="E48" i="31"/>
  <c r="D48" i="31"/>
  <c r="F47" i="31"/>
  <c r="J47" i="31" s="1"/>
  <c r="E47" i="31"/>
  <c r="D47" i="31"/>
  <c r="F46" i="31"/>
  <c r="J46" i="31" s="1"/>
  <c r="E46" i="31"/>
  <c r="D46" i="31"/>
  <c r="F45" i="31"/>
  <c r="J45" i="31" s="1"/>
  <c r="E45" i="31"/>
  <c r="D45" i="31"/>
  <c r="F44" i="31"/>
  <c r="J44" i="31" s="1"/>
  <c r="E44" i="31"/>
  <c r="D44" i="31"/>
  <c r="F43" i="31"/>
  <c r="J43" i="31" s="1"/>
  <c r="E43" i="31"/>
  <c r="D43" i="31"/>
  <c r="F42" i="31"/>
  <c r="J42" i="31" s="1"/>
  <c r="E42" i="31"/>
  <c r="D42" i="31"/>
  <c r="F41" i="31"/>
  <c r="J41" i="31" s="1"/>
  <c r="E41" i="31"/>
  <c r="D41" i="31"/>
  <c r="F40" i="31"/>
  <c r="J40" i="31" s="1"/>
  <c r="E40" i="31"/>
  <c r="D40" i="31"/>
  <c r="F39" i="31"/>
  <c r="J39" i="31" s="1"/>
  <c r="E39" i="31"/>
  <c r="D39" i="31"/>
  <c r="J36" i="31"/>
  <c r="I36" i="31"/>
  <c r="H36" i="31"/>
  <c r="F18" i="31"/>
  <c r="J18" i="31" s="1"/>
  <c r="E18" i="31"/>
  <c r="H18" i="31" s="1"/>
  <c r="D18" i="31"/>
  <c r="F5" i="30" s="1"/>
  <c r="H19" i="30"/>
  <c r="G19" i="30"/>
  <c r="F19" i="30"/>
  <c r="H5" i="30"/>
  <c r="G5" i="30"/>
  <c r="D97" i="29"/>
  <c r="G90" i="29"/>
  <c r="F90" i="29"/>
  <c r="E90" i="29"/>
  <c r="G89" i="29"/>
  <c r="F89" i="29"/>
  <c r="E89" i="29"/>
  <c r="G88" i="29"/>
  <c r="F88" i="29"/>
  <c r="E88" i="29"/>
  <c r="G87" i="29"/>
  <c r="F87" i="29"/>
  <c r="E87" i="29"/>
  <c r="G86" i="29"/>
  <c r="F86" i="29"/>
  <c r="E86" i="29"/>
  <c r="G82" i="29"/>
  <c r="F82" i="29"/>
  <c r="E82" i="29"/>
  <c r="D80" i="29"/>
  <c r="C80" i="29"/>
  <c r="E80" i="29" s="1"/>
  <c r="D79" i="29"/>
  <c r="F79" i="29" s="1"/>
  <c r="B79" i="29"/>
  <c r="B78" i="29"/>
  <c r="G64" i="29"/>
  <c r="D54" i="29"/>
  <c r="B53" i="29"/>
  <c r="D52" i="29"/>
  <c r="C51" i="29"/>
  <c r="B51" i="29"/>
  <c r="D50" i="29"/>
  <c r="G45" i="29"/>
  <c r="F45" i="29"/>
  <c r="D45" i="29"/>
  <c r="D63" i="29" s="1"/>
  <c r="C45" i="29"/>
  <c r="B45" i="29"/>
  <c r="B63" i="29" s="1"/>
  <c r="G63" i="29" s="1"/>
  <c r="E44" i="29"/>
  <c r="D44" i="29"/>
  <c r="C44" i="29"/>
  <c r="C62" i="29" s="1"/>
  <c r="B44" i="29"/>
  <c r="B62" i="29" s="1"/>
  <c r="D43" i="29"/>
  <c r="D61" i="29" s="1"/>
  <c r="C43" i="29"/>
  <c r="B43" i="29"/>
  <c r="G43" i="29" s="1"/>
  <c r="D42" i="29"/>
  <c r="D60" i="29" s="1"/>
  <c r="C42" i="29"/>
  <c r="E42" i="29" s="1"/>
  <c r="B42" i="29"/>
  <c r="B60" i="29" s="1"/>
  <c r="G41" i="29"/>
  <c r="F41" i="29"/>
  <c r="D41" i="29"/>
  <c r="D59" i="29" s="1"/>
  <c r="C41" i="29"/>
  <c r="B41" i="29"/>
  <c r="D37" i="29"/>
  <c r="D36" i="29"/>
  <c r="C36" i="29"/>
  <c r="B36" i="29"/>
  <c r="D35" i="29"/>
  <c r="G35" i="29" s="1"/>
  <c r="C35" i="29"/>
  <c r="C53" i="29" s="1"/>
  <c r="B35" i="29"/>
  <c r="G34" i="29"/>
  <c r="F34" i="29"/>
  <c r="D34" i="29"/>
  <c r="C34" i="29"/>
  <c r="C52" i="29" s="1"/>
  <c r="B34" i="29"/>
  <c r="B52" i="29" s="1"/>
  <c r="E33" i="29"/>
  <c r="D33" i="29"/>
  <c r="C33" i="29"/>
  <c r="B33" i="29"/>
  <c r="D32" i="29"/>
  <c r="C32" i="29"/>
  <c r="B32" i="29"/>
  <c r="G27" i="29"/>
  <c r="F27" i="29"/>
  <c r="D27" i="29"/>
  <c r="D99" i="29" s="1"/>
  <c r="C27" i="29"/>
  <c r="C99" i="29" s="1"/>
  <c r="B27" i="29"/>
  <c r="B99" i="29" s="1"/>
  <c r="E26" i="29"/>
  <c r="D26" i="29"/>
  <c r="C26" i="29"/>
  <c r="C98" i="29" s="1"/>
  <c r="B26" i="29"/>
  <c r="B98" i="29" s="1"/>
  <c r="D25" i="29"/>
  <c r="C25" i="29"/>
  <c r="B25" i="29"/>
  <c r="D24" i="29"/>
  <c r="D28" i="29" s="1"/>
  <c r="C24" i="29"/>
  <c r="E24" i="29" s="1"/>
  <c r="B24" i="29"/>
  <c r="B96" i="29" s="1"/>
  <c r="G23" i="29"/>
  <c r="F23" i="29"/>
  <c r="D23" i="29"/>
  <c r="D95" i="29" s="1"/>
  <c r="C23" i="29"/>
  <c r="B23" i="29"/>
  <c r="D19" i="29"/>
  <c r="D18" i="29"/>
  <c r="D81" i="29" s="1"/>
  <c r="C18" i="29"/>
  <c r="B18" i="29"/>
  <c r="D17" i="29"/>
  <c r="G17" i="29" s="1"/>
  <c r="C17" i="29"/>
  <c r="E17" i="29" s="1"/>
  <c r="B17" i="29"/>
  <c r="B80" i="29" s="1"/>
  <c r="G16" i="29"/>
  <c r="F16" i="29"/>
  <c r="D16" i="29"/>
  <c r="C16" i="29"/>
  <c r="C79" i="29" s="1"/>
  <c r="E79" i="29" s="1"/>
  <c r="B16" i="29"/>
  <c r="E15" i="29"/>
  <c r="D15" i="29"/>
  <c r="C15" i="29"/>
  <c r="C78" i="29" s="1"/>
  <c r="E78" i="29" s="1"/>
  <c r="B15" i="29"/>
  <c r="D14" i="29"/>
  <c r="D77" i="29" s="1"/>
  <c r="C14" i="29"/>
  <c r="B14" i="29"/>
  <c r="D9" i="29"/>
  <c r="G9" i="29" s="1"/>
  <c r="C9" i="29"/>
  <c r="E9" i="29" s="1"/>
  <c r="B9" i="29"/>
  <c r="G8" i="29"/>
  <c r="F8" i="29"/>
  <c r="E8" i="29"/>
  <c r="G7" i="29"/>
  <c r="F7" i="29"/>
  <c r="E7" i="29"/>
  <c r="G6" i="29"/>
  <c r="F6" i="29"/>
  <c r="E6" i="29"/>
  <c r="G5" i="29"/>
  <c r="F5" i="29"/>
  <c r="E5" i="29"/>
  <c r="G4" i="29"/>
  <c r="F4" i="29"/>
  <c r="E4" i="29"/>
  <c r="G198" i="28"/>
  <c r="F198" i="28"/>
  <c r="E198" i="28"/>
  <c r="G197" i="28"/>
  <c r="F197" i="28"/>
  <c r="E197" i="28"/>
  <c r="G196" i="28"/>
  <c r="F196" i="28"/>
  <c r="E196" i="28"/>
  <c r="G195" i="28"/>
  <c r="F195" i="28"/>
  <c r="E195" i="28"/>
  <c r="G194" i="28"/>
  <c r="F194" i="28"/>
  <c r="E194" i="28"/>
  <c r="G193" i="28"/>
  <c r="F193" i="28"/>
  <c r="E193" i="28"/>
  <c r="G192" i="28"/>
  <c r="F192" i="28"/>
  <c r="E192" i="28"/>
  <c r="G191" i="28"/>
  <c r="F191" i="28"/>
  <c r="E191" i="28"/>
  <c r="G190" i="28"/>
  <c r="F190" i="28"/>
  <c r="E190" i="28"/>
  <c r="G189" i="28"/>
  <c r="F189" i="28"/>
  <c r="E189" i="28"/>
  <c r="G188" i="28"/>
  <c r="F188" i="28"/>
  <c r="E188" i="28"/>
  <c r="G187" i="28"/>
  <c r="F187" i="28"/>
  <c r="E187" i="28"/>
  <c r="G186" i="28"/>
  <c r="F186" i="28"/>
  <c r="E186" i="28"/>
  <c r="G185" i="28"/>
  <c r="F185" i="28"/>
  <c r="E185" i="28"/>
  <c r="G180" i="28"/>
  <c r="F180" i="28"/>
  <c r="E180" i="28"/>
  <c r="G179" i="28"/>
  <c r="F179" i="28"/>
  <c r="E179" i="28"/>
  <c r="G178" i="28"/>
  <c r="F178" i="28"/>
  <c r="E178" i="28"/>
  <c r="G177" i="28"/>
  <c r="F177" i="28"/>
  <c r="E177" i="28"/>
  <c r="G176" i="28"/>
  <c r="F176" i="28"/>
  <c r="E176" i="28"/>
  <c r="G175" i="28"/>
  <c r="F175" i="28"/>
  <c r="E175" i="28"/>
  <c r="G174" i="28"/>
  <c r="F174" i="28"/>
  <c r="E174" i="28"/>
  <c r="G173" i="28"/>
  <c r="F173" i="28"/>
  <c r="E173" i="28"/>
  <c r="G172" i="28"/>
  <c r="F172" i="28"/>
  <c r="E172" i="28"/>
  <c r="G171" i="28"/>
  <c r="F171" i="28"/>
  <c r="E171" i="28"/>
  <c r="G170" i="28"/>
  <c r="F170" i="28"/>
  <c r="E170" i="28"/>
  <c r="G169" i="28"/>
  <c r="F169" i="28"/>
  <c r="E169" i="28"/>
  <c r="G168" i="28"/>
  <c r="F168" i="28"/>
  <c r="E168" i="28"/>
  <c r="G162" i="28"/>
  <c r="F162" i="28"/>
  <c r="E162" i="28"/>
  <c r="G161" i="28"/>
  <c r="F161" i="28"/>
  <c r="E161" i="28"/>
  <c r="G160" i="28"/>
  <c r="F160" i="28"/>
  <c r="E160" i="28"/>
  <c r="G159" i="28"/>
  <c r="F159" i="28"/>
  <c r="E159" i="28"/>
  <c r="E158" i="28"/>
  <c r="D158" i="28"/>
  <c r="C158" i="28"/>
  <c r="B158" i="28"/>
  <c r="G157" i="28"/>
  <c r="F157" i="28"/>
  <c r="E157" i="28"/>
  <c r="F156" i="28"/>
  <c r="E156" i="28"/>
  <c r="D156" i="28"/>
  <c r="G156" i="28" s="1"/>
  <c r="C156" i="28"/>
  <c r="B156" i="28"/>
  <c r="D155" i="28"/>
  <c r="G155" i="28" s="1"/>
  <c r="C155" i="28"/>
  <c r="E155" i="28" s="1"/>
  <c r="B155" i="28"/>
  <c r="D154" i="28"/>
  <c r="C154" i="28"/>
  <c r="B154" i="28"/>
  <c r="E154" i="28" s="1"/>
  <c r="D153" i="28"/>
  <c r="F153" i="28" s="1"/>
  <c r="C153" i="28"/>
  <c r="E153" i="28" s="1"/>
  <c r="B153" i="28"/>
  <c r="G153" i="28" s="1"/>
  <c r="G152" i="28"/>
  <c r="F152" i="28"/>
  <c r="E152" i="28"/>
  <c r="G151" i="28"/>
  <c r="F151" i="28"/>
  <c r="E151" i="28"/>
  <c r="G150" i="28"/>
  <c r="F150" i="28"/>
  <c r="E150" i="28"/>
  <c r="G149" i="28"/>
  <c r="F149" i="28"/>
  <c r="E149" i="28"/>
  <c r="D148" i="28"/>
  <c r="C148" i="28"/>
  <c r="B148" i="28"/>
  <c r="D124" i="28"/>
  <c r="C124" i="28"/>
  <c r="C122" i="28"/>
  <c r="B121" i="28"/>
  <c r="D119" i="28"/>
  <c r="C118" i="28"/>
  <c r="B118" i="28"/>
  <c r="B136" i="28" s="1"/>
  <c r="B209" i="28" s="1"/>
  <c r="F115" i="28"/>
  <c r="D115" i="28"/>
  <c r="G115" i="28" s="1"/>
  <c r="C114" i="28"/>
  <c r="B114" i="28"/>
  <c r="B107" i="28"/>
  <c r="D105" i="28"/>
  <c r="D104" i="28"/>
  <c r="C104" i="28"/>
  <c r="B104" i="28"/>
  <c r="B140" i="28" s="1"/>
  <c r="D101" i="28"/>
  <c r="G101" i="28" s="1"/>
  <c r="C100" i="28"/>
  <c r="E100" i="28" s="1"/>
  <c r="B100" i="28"/>
  <c r="E97" i="28"/>
  <c r="C97" i="28"/>
  <c r="F97" i="28" s="1"/>
  <c r="C96" i="28"/>
  <c r="E96" i="28" s="1"/>
  <c r="B96" i="28"/>
  <c r="D89" i="28"/>
  <c r="C89" i="28"/>
  <c r="B89" i="28"/>
  <c r="G88" i="28"/>
  <c r="F88" i="28"/>
  <c r="D88" i="28"/>
  <c r="C88" i="28"/>
  <c r="E88" i="28" s="1"/>
  <c r="B88" i="28"/>
  <c r="G87" i="28"/>
  <c r="F87" i="28"/>
  <c r="E87" i="28"/>
  <c r="D87" i="28"/>
  <c r="D123" i="28" s="1"/>
  <c r="C87" i="28"/>
  <c r="B87" i="28"/>
  <c r="B123" i="28" s="1"/>
  <c r="B141" i="28" s="1"/>
  <c r="E86" i="28"/>
  <c r="D86" i="28"/>
  <c r="C86" i="28"/>
  <c r="B86" i="28"/>
  <c r="B122" i="28" s="1"/>
  <c r="D85" i="28"/>
  <c r="C85" i="28"/>
  <c r="B85" i="28"/>
  <c r="G84" i="28"/>
  <c r="F84" i="28"/>
  <c r="D84" i="28"/>
  <c r="D120" i="28" s="1"/>
  <c r="C84" i="28"/>
  <c r="C120" i="28" s="1"/>
  <c r="B84" i="28"/>
  <c r="E84" i="28" s="1"/>
  <c r="G83" i="28"/>
  <c r="F83" i="28"/>
  <c r="E83" i="28"/>
  <c r="D83" i="28"/>
  <c r="C83" i="28"/>
  <c r="C119" i="28" s="1"/>
  <c r="B83" i="28"/>
  <c r="B119" i="28" s="1"/>
  <c r="E82" i="28"/>
  <c r="D82" i="28"/>
  <c r="C82" i="28"/>
  <c r="B82" i="28"/>
  <c r="D81" i="28"/>
  <c r="C81" i="28"/>
  <c r="B81" i="28"/>
  <c r="G80" i="28"/>
  <c r="F80" i="28"/>
  <c r="D80" i="28"/>
  <c r="D116" i="28" s="1"/>
  <c r="C80" i="28"/>
  <c r="C116" i="28" s="1"/>
  <c r="B80" i="28"/>
  <c r="E80" i="28" s="1"/>
  <c r="G79" i="28"/>
  <c r="F79" i="28"/>
  <c r="E79" i="28"/>
  <c r="D79" i="28"/>
  <c r="C79" i="28"/>
  <c r="C115" i="28" s="1"/>
  <c r="E115" i="28" s="1"/>
  <c r="B79" i="28"/>
  <c r="B115" i="28" s="1"/>
  <c r="D78" i="28"/>
  <c r="C78" i="28"/>
  <c r="E78" i="28" s="1"/>
  <c r="B78" i="28"/>
  <c r="D77" i="28"/>
  <c r="G77" i="28" s="1"/>
  <c r="C77" i="28"/>
  <c r="C90" i="28" s="1"/>
  <c r="B77" i="28"/>
  <c r="B113" i="28" s="1"/>
  <c r="G76" i="28"/>
  <c r="F76" i="28"/>
  <c r="D76" i="28"/>
  <c r="D112" i="28" s="1"/>
  <c r="C76" i="28"/>
  <c r="C112" i="28" s="1"/>
  <c r="B76" i="28"/>
  <c r="B90" i="28" s="1"/>
  <c r="D71" i="28"/>
  <c r="C71" i="28"/>
  <c r="B71" i="28"/>
  <c r="D70" i="28"/>
  <c r="D106" i="28" s="1"/>
  <c r="C70" i="28"/>
  <c r="B70" i="28"/>
  <c r="B106" i="28" s="1"/>
  <c r="G69" i="28"/>
  <c r="F69" i="28"/>
  <c r="D69" i="28"/>
  <c r="C69" i="28"/>
  <c r="C105" i="28" s="1"/>
  <c r="E105" i="28" s="1"/>
  <c r="B69" i="28"/>
  <c r="B105" i="28" s="1"/>
  <c r="G68" i="28"/>
  <c r="F68" i="28"/>
  <c r="E68" i="28"/>
  <c r="D68" i="28"/>
  <c r="C68" i="28"/>
  <c r="B68" i="28"/>
  <c r="E67" i="28"/>
  <c r="D67" i="28"/>
  <c r="C67" i="28"/>
  <c r="B67" i="28"/>
  <c r="D66" i="28"/>
  <c r="D102" i="28" s="1"/>
  <c r="C66" i="28"/>
  <c r="B66" i="28"/>
  <c r="B102" i="28" s="1"/>
  <c r="G65" i="28"/>
  <c r="F65" i="28"/>
  <c r="D65" i="28"/>
  <c r="C65" i="28"/>
  <c r="C101" i="28" s="1"/>
  <c r="E101" i="28" s="1"/>
  <c r="B65" i="28"/>
  <c r="B101" i="28" s="1"/>
  <c r="G64" i="28"/>
  <c r="F64" i="28"/>
  <c r="E64" i="28"/>
  <c r="D64" i="28"/>
  <c r="C64" i="28"/>
  <c r="B64" i="28"/>
  <c r="E63" i="28"/>
  <c r="D63" i="28"/>
  <c r="C63" i="28"/>
  <c r="B63" i="28"/>
  <c r="D62" i="28"/>
  <c r="D98" i="28" s="1"/>
  <c r="C62" i="28"/>
  <c r="B62" i="28"/>
  <c r="B98" i="28" s="1"/>
  <c r="G61" i="28"/>
  <c r="F61" i="28"/>
  <c r="D61" i="28"/>
  <c r="C61" i="28"/>
  <c r="B61" i="28"/>
  <c r="B97" i="28" s="1"/>
  <c r="G97" i="28" s="1"/>
  <c r="G60" i="28"/>
  <c r="F60" i="28"/>
  <c r="E60" i="28"/>
  <c r="D60" i="28"/>
  <c r="C60" i="28"/>
  <c r="B60" i="28"/>
  <c r="E59" i="28"/>
  <c r="D59" i="28"/>
  <c r="C59" i="28"/>
  <c r="B59" i="28"/>
  <c r="D58" i="28"/>
  <c r="D94" i="28" s="1"/>
  <c r="C58" i="28"/>
  <c r="B58" i="28"/>
  <c r="G53" i="28"/>
  <c r="F53" i="28"/>
  <c r="E53" i="28"/>
  <c r="D53" i="28"/>
  <c r="C53" i="28"/>
  <c r="B53" i="28"/>
  <c r="D52" i="28"/>
  <c r="C52" i="28"/>
  <c r="E52" i="28" s="1"/>
  <c r="B52" i="28"/>
  <c r="D51" i="28"/>
  <c r="C51" i="28"/>
  <c r="B51" i="28"/>
  <c r="G50" i="28"/>
  <c r="F50" i="28"/>
  <c r="D50" i="28"/>
  <c r="C50" i="28"/>
  <c r="B50" i="28"/>
  <c r="E50" i="28" s="1"/>
  <c r="G49" i="28"/>
  <c r="F49" i="28"/>
  <c r="E49" i="28"/>
  <c r="D49" i="28"/>
  <c r="C49" i="28"/>
  <c r="B49" i="28"/>
  <c r="E48" i="28"/>
  <c r="D48" i="28"/>
  <c r="C48" i="28"/>
  <c r="B48" i="28"/>
  <c r="D47" i="28"/>
  <c r="G47" i="28" s="1"/>
  <c r="C47" i="28"/>
  <c r="B47" i="28"/>
  <c r="G46" i="28"/>
  <c r="F46" i="28"/>
  <c r="D46" i="28"/>
  <c r="C46" i="28"/>
  <c r="B46" i="28"/>
  <c r="E46" i="28" s="1"/>
  <c r="G45" i="28"/>
  <c r="F45" i="28"/>
  <c r="E45" i="28"/>
  <c r="D45" i="28"/>
  <c r="C45" i="28"/>
  <c r="B45" i="28"/>
  <c r="D44" i="28"/>
  <c r="C44" i="28"/>
  <c r="E44" i="28" s="1"/>
  <c r="B44" i="28"/>
  <c r="D43" i="28"/>
  <c r="G43" i="28" s="1"/>
  <c r="C43" i="28"/>
  <c r="B43" i="28"/>
  <c r="G42" i="28"/>
  <c r="F42" i="28"/>
  <c r="D42" i="28"/>
  <c r="C42" i="28"/>
  <c r="B42" i="28"/>
  <c r="E42" i="28" s="1"/>
  <c r="G41" i="28"/>
  <c r="F41" i="28"/>
  <c r="E41" i="28"/>
  <c r="D41" i="28"/>
  <c r="C41" i="28"/>
  <c r="B41" i="28"/>
  <c r="D40" i="28"/>
  <c r="C40" i="28"/>
  <c r="B40" i="28"/>
  <c r="D36" i="28"/>
  <c r="D35" i="28"/>
  <c r="C35" i="28"/>
  <c r="E35" i="28" s="1"/>
  <c r="B35" i="28"/>
  <c r="G34" i="28"/>
  <c r="F34" i="28"/>
  <c r="D34" i="28"/>
  <c r="C34" i="28"/>
  <c r="B34" i="28"/>
  <c r="E34" i="28" s="1"/>
  <c r="G33" i="28"/>
  <c r="F33" i="28"/>
  <c r="E33" i="28"/>
  <c r="D33" i="28"/>
  <c r="C33" i="28"/>
  <c r="B33" i="28"/>
  <c r="E32" i="28"/>
  <c r="D32" i="28"/>
  <c r="C32" i="28"/>
  <c r="B32" i="28"/>
  <c r="D31" i="28"/>
  <c r="C31" i="28"/>
  <c r="E31" i="28" s="1"/>
  <c r="B31" i="28"/>
  <c r="B103" i="28" s="1"/>
  <c r="G30" i="28"/>
  <c r="F30" i="28"/>
  <c r="D30" i="28"/>
  <c r="C30" i="28"/>
  <c r="B30" i="28"/>
  <c r="E30" i="28" s="1"/>
  <c r="G29" i="28"/>
  <c r="F29" i="28"/>
  <c r="E29" i="28"/>
  <c r="D29" i="28"/>
  <c r="C29" i="28"/>
  <c r="B29" i="28"/>
  <c r="D28" i="28"/>
  <c r="C28" i="28"/>
  <c r="E28" i="28" s="1"/>
  <c r="B28" i="28"/>
  <c r="D27" i="28"/>
  <c r="C27" i="28"/>
  <c r="E27" i="28" s="1"/>
  <c r="B27" i="28"/>
  <c r="B99" i="28" s="1"/>
  <c r="G26" i="28"/>
  <c r="F26" i="28"/>
  <c r="D26" i="28"/>
  <c r="C26" i="28"/>
  <c r="E26" i="28" s="1"/>
  <c r="B26" i="28"/>
  <c r="G25" i="28"/>
  <c r="F25" i="28"/>
  <c r="E25" i="28"/>
  <c r="D25" i="28"/>
  <c r="C25" i="28"/>
  <c r="B25" i="28"/>
  <c r="D24" i="28"/>
  <c r="C24" i="28"/>
  <c r="E24" i="28" s="1"/>
  <c r="B24" i="28"/>
  <c r="D23" i="28"/>
  <c r="C23" i="28"/>
  <c r="B23" i="28"/>
  <c r="G23" i="28" s="1"/>
  <c r="G22" i="28"/>
  <c r="F22" i="28"/>
  <c r="D22" i="28"/>
  <c r="C22" i="28"/>
  <c r="E22" i="28" s="1"/>
  <c r="B22" i="28"/>
  <c r="B36" i="28" s="1"/>
  <c r="D18" i="28"/>
  <c r="C18" i="28"/>
  <c r="B18" i="28"/>
  <c r="G17" i="28"/>
  <c r="F17" i="28"/>
  <c r="E17" i="28"/>
  <c r="G16" i="28"/>
  <c r="F16" i="28"/>
  <c r="E16" i="28"/>
  <c r="G15" i="28"/>
  <c r="F15" i="28"/>
  <c r="E15" i="28"/>
  <c r="G14" i="28"/>
  <c r="F14" i="28"/>
  <c r="E14" i="28"/>
  <c r="G13" i="28"/>
  <c r="F13" i="28"/>
  <c r="E13" i="28"/>
  <c r="G12" i="28"/>
  <c r="F12" i="28"/>
  <c r="E12" i="28"/>
  <c r="G11" i="28"/>
  <c r="F11" i="28"/>
  <c r="E11" i="28"/>
  <c r="G10" i="28"/>
  <c r="F10" i="28"/>
  <c r="E10" i="28"/>
  <c r="G9" i="28"/>
  <c r="F9" i="28"/>
  <c r="E9" i="28"/>
  <c r="G8" i="28"/>
  <c r="F8" i="28"/>
  <c r="F18" i="28" s="1"/>
  <c r="E8" i="28"/>
  <c r="G7" i="28"/>
  <c r="F7" i="28"/>
  <c r="E7" i="28"/>
  <c r="G6" i="28"/>
  <c r="F6" i="28"/>
  <c r="E6" i="28"/>
  <c r="G5" i="28"/>
  <c r="F5" i="28"/>
  <c r="E5" i="28"/>
  <c r="G4" i="28"/>
  <c r="F4" i="28"/>
  <c r="E4" i="28"/>
  <c r="D123" i="27"/>
  <c r="C123" i="27"/>
  <c r="D119" i="27"/>
  <c r="C119" i="27"/>
  <c r="B119" i="27"/>
  <c r="D118" i="27"/>
  <c r="B117" i="27"/>
  <c r="D111" i="27"/>
  <c r="C111" i="27"/>
  <c r="B111" i="27"/>
  <c r="D110" i="27"/>
  <c r="B108" i="27"/>
  <c r="D107" i="27"/>
  <c r="C107" i="27"/>
  <c r="B107" i="27"/>
  <c r="D106" i="27"/>
  <c r="D105" i="27"/>
  <c r="B105" i="27"/>
  <c r="D100" i="27"/>
  <c r="C100" i="27"/>
  <c r="B100" i="27"/>
  <c r="D99" i="27"/>
  <c r="C99" i="27"/>
  <c r="B99" i="27"/>
  <c r="D98" i="27"/>
  <c r="C98" i="27"/>
  <c r="B98" i="27"/>
  <c r="D97" i="27"/>
  <c r="C97" i="27"/>
  <c r="B97" i="27"/>
  <c r="D96" i="27"/>
  <c r="C96" i="27"/>
  <c r="B96" i="27"/>
  <c r="D95" i="27"/>
  <c r="C95" i="27"/>
  <c r="B95" i="27"/>
  <c r="D94" i="27"/>
  <c r="C94" i="27"/>
  <c r="B94" i="27"/>
  <c r="B77" i="27"/>
  <c r="C74" i="27"/>
  <c r="B74" i="27"/>
  <c r="C73" i="27"/>
  <c r="B67" i="27"/>
  <c r="D66" i="27"/>
  <c r="C66" i="27"/>
  <c r="B65" i="27"/>
  <c r="B64" i="27"/>
  <c r="F63" i="27"/>
  <c r="C63" i="27"/>
  <c r="B63" i="27"/>
  <c r="B55" i="27"/>
  <c r="B44" i="27" s="1"/>
  <c r="D53" i="27"/>
  <c r="D42" i="27" s="1"/>
  <c r="H42" i="27" s="1"/>
  <c r="D52" i="27"/>
  <c r="C52" i="27"/>
  <c r="C41" i="27" s="1"/>
  <c r="D41" i="27"/>
  <c r="D34" i="27"/>
  <c r="B33" i="27"/>
  <c r="B123" i="27" s="1"/>
  <c r="D32" i="27"/>
  <c r="D122" i="27" s="1"/>
  <c r="C32" i="27"/>
  <c r="C110" i="27" s="1"/>
  <c r="B32" i="27"/>
  <c r="H31" i="27"/>
  <c r="F31" i="27"/>
  <c r="D31" i="27"/>
  <c r="C31" i="27"/>
  <c r="B31" i="27"/>
  <c r="D30" i="27"/>
  <c r="C30" i="27"/>
  <c r="B30" i="27"/>
  <c r="B120" i="27" s="1"/>
  <c r="H29" i="27"/>
  <c r="G29" i="27"/>
  <c r="F29" i="27"/>
  <c r="G28" i="27"/>
  <c r="C28" i="27"/>
  <c r="B28" i="27"/>
  <c r="H27" i="27"/>
  <c r="D27" i="27"/>
  <c r="D117" i="27" s="1"/>
  <c r="C27" i="27"/>
  <c r="D23" i="27"/>
  <c r="C23" i="27"/>
  <c r="B23" i="27"/>
  <c r="H21" i="27"/>
  <c r="F21" i="27"/>
  <c r="H20" i="27"/>
  <c r="F20" i="27"/>
  <c r="H18" i="27"/>
  <c r="G18" i="27"/>
  <c r="F18" i="27"/>
  <c r="H17" i="27"/>
  <c r="G17" i="27"/>
  <c r="F17" i="27"/>
  <c r="H16" i="27"/>
  <c r="G16" i="27"/>
  <c r="F16" i="27"/>
  <c r="D12" i="27"/>
  <c r="H4" i="30" s="1"/>
  <c r="H6" i="30" s="1"/>
  <c r="C12" i="27"/>
  <c r="G4" i="30" s="1"/>
  <c r="G6" i="30" s="1"/>
  <c r="B12" i="27"/>
  <c r="F4" i="30" s="1"/>
  <c r="F6" i="30" s="1"/>
  <c r="I6" i="30" s="1"/>
  <c r="H9" i="27"/>
  <c r="F9" i="27"/>
  <c r="H7" i="27"/>
  <c r="G7" i="27"/>
  <c r="F7" i="27"/>
  <c r="H6" i="27"/>
  <c r="G6" i="27"/>
  <c r="F6" i="27"/>
  <c r="H5" i="27"/>
  <c r="G5" i="27"/>
  <c r="F5" i="27"/>
  <c r="M115" i="25"/>
  <c r="L115" i="25"/>
  <c r="M114" i="25"/>
  <c r="L114" i="25"/>
  <c r="M113" i="25"/>
  <c r="L113" i="25"/>
  <c r="M112" i="25"/>
  <c r="L112" i="25"/>
  <c r="M111" i="25"/>
  <c r="L111" i="25"/>
  <c r="M110" i="25"/>
  <c r="L110" i="25"/>
  <c r="M106" i="25"/>
  <c r="L106" i="25"/>
  <c r="M105" i="25"/>
  <c r="L105" i="25"/>
  <c r="M104" i="25"/>
  <c r="L104" i="25"/>
  <c r="M103" i="25"/>
  <c r="L103" i="25"/>
  <c r="M102" i="25"/>
  <c r="L102" i="25"/>
  <c r="M101" i="25"/>
  <c r="L101" i="25"/>
  <c r="M97" i="25"/>
  <c r="L97" i="25"/>
  <c r="M95" i="25"/>
  <c r="L95" i="25"/>
  <c r="M94" i="25"/>
  <c r="L94" i="25"/>
  <c r="M93" i="25"/>
  <c r="L93" i="25"/>
  <c r="M92" i="25"/>
  <c r="L92" i="25"/>
  <c r="M88" i="25"/>
  <c r="L88" i="25"/>
  <c r="M86" i="25"/>
  <c r="L86" i="25"/>
  <c r="M85" i="25"/>
  <c r="L85" i="25"/>
  <c r="M84" i="25"/>
  <c r="L84" i="25"/>
  <c r="M83" i="25"/>
  <c r="L83" i="25"/>
  <c r="M82" i="25"/>
  <c r="L82" i="25"/>
  <c r="M81" i="25"/>
  <c r="L81" i="25"/>
  <c r="M80" i="25"/>
  <c r="L80" i="25"/>
  <c r="M79" i="25"/>
  <c r="L79" i="25"/>
  <c r="M78" i="25"/>
  <c r="L78" i="25"/>
  <c r="M77" i="25"/>
  <c r="L77" i="25"/>
  <c r="M76" i="25"/>
  <c r="L76" i="25"/>
  <c r="M75" i="25"/>
  <c r="L75" i="25"/>
  <c r="M74" i="25"/>
  <c r="L74" i="25"/>
  <c r="M70" i="25"/>
  <c r="L70" i="25"/>
  <c r="M68" i="25"/>
  <c r="L68" i="25"/>
  <c r="M67" i="25"/>
  <c r="L67" i="25"/>
  <c r="M66" i="25"/>
  <c r="L66" i="25"/>
  <c r="M65" i="25"/>
  <c r="L65" i="25"/>
  <c r="M64" i="25"/>
  <c r="L64" i="25"/>
  <c r="M63" i="25"/>
  <c r="L63" i="25"/>
  <c r="M62" i="25"/>
  <c r="L62" i="25"/>
  <c r="M61" i="25"/>
  <c r="L61" i="25"/>
  <c r="M60" i="25"/>
  <c r="L60" i="25"/>
  <c r="M59" i="25"/>
  <c r="L59" i="25"/>
  <c r="M58" i="25"/>
  <c r="L58" i="25"/>
  <c r="M57" i="25"/>
  <c r="L57" i="25"/>
  <c r="M56" i="25"/>
  <c r="L56" i="25"/>
  <c r="M52" i="25"/>
  <c r="L52" i="25"/>
  <c r="M51" i="25"/>
  <c r="L51" i="25"/>
  <c r="M49" i="25"/>
  <c r="L49" i="25"/>
  <c r="M48" i="25"/>
  <c r="L48" i="25"/>
  <c r="M46" i="25"/>
  <c r="L46" i="25"/>
  <c r="M45" i="25"/>
  <c r="L45" i="25"/>
  <c r="M44" i="25"/>
  <c r="L44" i="25"/>
  <c r="M43" i="25"/>
  <c r="L43" i="25"/>
  <c r="M42" i="25"/>
  <c r="L42" i="25"/>
  <c r="M41" i="25"/>
  <c r="L41" i="25"/>
  <c r="M40" i="25"/>
  <c r="L40" i="25"/>
  <c r="M39" i="25"/>
  <c r="L39" i="25"/>
  <c r="M38" i="25"/>
  <c r="L38" i="25"/>
  <c r="M34" i="25"/>
  <c r="L34" i="25"/>
  <c r="M33" i="25"/>
  <c r="D78" i="27" s="1"/>
  <c r="L33" i="25"/>
  <c r="D55" i="27" s="1"/>
  <c r="D44" i="27" s="1"/>
  <c r="M32" i="25"/>
  <c r="D77" i="27" s="1"/>
  <c r="L32" i="25"/>
  <c r="D54" i="27" s="1"/>
  <c r="M31" i="25"/>
  <c r="D76" i="27" s="1"/>
  <c r="L31" i="25"/>
  <c r="M30" i="25"/>
  <c r="D75" i="27" s="1"/>
  <c r="D86" i="27" s="1"/>
  <c r="L30" i="25"/>
  <c r="M29" i="25"/>
  <c r="D74" i="27" s="1"/>
  <c r="L29" i="25"/>
  <c r="D51" i="27" s="1"/>
  <c r="M28" i="25"/>
  <c r="D73" i="27" s="1"/>
  <c r="L28" i="25"/>
  <c r="D50" i="27" s="1"/>
  <c r="D39" i="27" s="1"/>
  <c r="H39" i="27" s="1"/>
  <c r="M27" i="25"/>
  <c r="D72" i="27" s="1"/>
  <c r="L27" i="25"/>
  <c r="D49" i="27" s="1"/>
  <c r="M23" i="25"/>
  <c r="L23" i="25"/>
  <c r="M22" i="25"/>
  <c r="C78" i="27" s="1"/>
  <c r="C67" i="27" s="1"/>
  <c r="L22" i="25"/>
  <c r="C55" i="27" s="1"/>
  <c r="C44" i="27" s="1"/>
  <c r="M21" i="25"/>
  <c r="C77" i="27" s="1"/>
  <c r="L21" i="25"/>
  <c r="C54" i="27" s="1"/>
  <c r="M20" i="25"/>
  <c r="C76" i="27" s="1"/>
  <c r="L20" i="25"/>
  <c r="C53" i="27" s="1"/>
  <c r="M19" i="25"/>
  <c r="C75" i="27" s="1"/>
  <c r="C64" i="27" s="1"/>
  <c r="L19" i="25"/>
  <c r="M18" i="25"/>
  <c r="L18" i="25"/>
  <c r="C51" i="27" s="1"/>
  <c r="M17" i="25"/>
  <c r="L17" i="25"/>
  <c r="C50" i="27" s="1"/>
  <c r="M16" i="25"/>
  <c r="C72" i="27" s="1"/>
  <c r="L16" i="25"/>
  <c r="C49" i="27" s="1"/>
  <c r="C38" i="27" s="1"/>
  <c r="F38" i="27" s="1"/>
  <c r="O12" i="25"/>
  <c r="N12" i="25"/>
  <c r="M12" i="25"/>
  <c r="L12" i="25"/>
  <c r="O11" i="25"/>
  <c r="N11" i="25"/>
  <c r="M11" i="25"/>
  <c r="L11" i="25"/>
  <c r="O10" i="25"/>
  <c r="N10" i="25"/>
  <c r="M10" i="25"/>
  <c r="B78" i="27" s="1"/>
  <c r="L10" i="25"/>
  <c r="O9" i="25"/>
  <c r="N9" i="25"/>
  <c r="M9" i="25"/>
  <c r="L9" i="25"/>
  <c r="B54" i="27" s="1"/>
  <c r="B43" i="27" s="1"/>
  <c r="O8" i="25"/>
  <c r="N8" i="25"/>
  <c r="M8" i="25"/>
  <c r="B76" i="27" s="1"/>
  <c r="L8" i="25"/>
  <c r="B53" i="27" s="1"/>
  <c r="B42" i="27" s="1"/>
  <c r="O7" i="25"/>
  <c r="N7" i="25"/>
  <c r="M7" i="25"/>
  <c r="B75" i="27" s="1"/>
  <c r="L7" i="25"/>
  <c r="B52" i="27" s="1"/>
  <c r="B41" i="27" s="1"/>
  <c r="O6" i="25"/>
  <c r="N6" i="25"/>
  <c r="M6" i="25"/>
  <c r="L6" i="25"/>
  <c r="B51" i="27" s="1"/>
  <c r="B40" i="27" s="1"/>
  <c r="O5" i="25"/>
  <c r="N5" i="25"/>
  <c r="M5" i="25"/>
  <c r="B73" i="27" s="1"/>
  <c r="L5" i="25"/>
  <c r="B50" i="27" s="1"/>
  <c r="B39" i="27" s="1"/>
  <c r="O4" i="25"/>
  <c r="N4" i="25"/>
  <c r="M4" i="25"/>
  <c r="B72" i="27" s="1"/>
  <c r="L4" i="25"/>
  <c r="B49" i="27" s="1"/>
  <c r="B38" i="27" s="1"/>
  <c r="D123" i="23"/>
  <c r="C122" i="23"/>
  <c r="B121" i="23"/>
  <c r="D120" i="23"/>
  <c r="B119" i="23"/>
  <c r="D111" i="23"/>
  <c r="C110" i="23"/>
  <c r="D108" i="23"/>
  <c r="B107" i="23"/>
  <c r="C105" i="23"/>
  <c r="D100" i="23"/>
  <c r="D99" i="23"/>
  <c r="D97" i="23"/>
  <c r="C97" i="23"/>
  <c r="B96" i="23"/>
  <c r="C95" i="23"/>
  <c r="C94" i="23"/>
  <c r="D78" i="23"/>
  <c r="D77" i="23"/>
  <c r="D74" i="23"/>
  <c r="B72" i="23"/>
  <c r="B83" i="23" s="1"/>
  <c r="D67" i="23"/>
  <c r="C67" i="23"/>
  <c r="B67" i="23"/>
  <c r="G66" i="23"/>
  <c r="D66" i="23"/>
  <c r="C66" i="23"/>
  <c r="C77" i="23" s="1"/>
  <c r="B66" i="23"/>
  <c r="B77" i="23" s="1"/>
  <c r="D65" i="23"/>
  <c r="C65" i="23"/>
  <c r="C76" i="23" s="1"/>
  <c r="B65" i="23"/>
  <c r="B76" i="23" s="1"/>
  <c r="D64" i="23"/>
  <c r="D75" i="23" s="1"/>
  <c r="C64" i="23"/>
  <c r="C75" i="23" s="1"/>
  <c r="B64" i="23"/>
  <c r="B75" i="23" s="1"/>
  <c r="D63" i="23"/>
  <c r="G63" i="23" s="1"/>
  <c r="C63" i="23"/>
  <c r="C74" i="23" s="1"/>
  <c r="B63" i="23"/>
  <c r="B74" i="23" s="1"/>
  <c r="B85" i="23" s="1"/>
  <c r="D62" i="23"/>
  <c r="D73" i="23" s="1"/>
  <c r="C62" i="23"/>
  <c r="B62" i="23"/>
  <c r="B73" i="23" s="1"/>
  <c r="D61" i="23"/>
  <c r="C61" i="23"/>
  <c r="C68" i="23" s="1"/>
  <c r="B61" i="23"/>
  <c r="D49" i="23"/>
  <c r="D44" i="23"/>
  <c r="D55" i="23" s="1"/>
  <c r="C44" i="23"/>
  <c r="C55" i="23" s="1"/>
  <c r="B44" i="23"/>
  <c r="E43" i="23"/>
  <c r="D43" i="23"/>
  <c r="D54" i="23" s="1"/>
  <c r="C43" i="23"/>
  <c r="C54" i="23" s="1"/>
  <c r="B43" i="23"/>
  <c r="B54" i="23" s="1"/>
  <c r="D42" i="23"/>
  <c r="G42" i="23" s="1"/>
  <c r="C42" i="23"/>
  <c r="B42" i="23"/>
  <c r="D41" i="23"/>
  <c r="D52" i="23" s="1"/>
  <c r="C41" i="23"/>
  <c r="C52" i="23" s="1"/>
  <c r="B41" i="23"/>
  <c r="B52" i="23" s="1"/>
  <c r="D40" i="23"/>
  <c r="G40" i="23" s="1"/>
  <c r="C40" i="23"/>
  <c r="B40" i="23"/>
  <c r="B51" i="23" s="1"/>
  <c r="D39" i="23"/>
  <c r="G39" i="23" s="1"/>
  <c r="C39" i="23"/>
  <c r="E39" i="23" s="1"/>
  <c r="B39" i="23"/>
  <c r="B45" i="23" s="1"/>
  <c r="D38" i="23"/>
  <c r="C38" i="23"/>
  <c r="B38" i="23"/>
  <c r="B49" i="23" s="1"/>
  <c r="D33" i="23"/>
  <c r="C33" i="23"/>
  <c r="C111" i="23" s="1"/>
  <c r="B33" i="23"/>
  <c r="E32" i="23"/>
  <c r="D32" i="23"/>
  <c r="D122" i="23" s="1"/>
  <c r="C32" i="23"/>
  <c r="B32" i="23"/>
  <c r="D31" i="23"/>
  <c r="G31" i="23" s="1"/>
  <c r="C31" i="23"/>
  <c r="B31" i="23"/>
  <c r="B109" i="23" s="1"/>
  <c r="D30" i="23"/>
  <c r="C30" i="23"/>
  <c r="C120" i="23" s="1"/>
  <c r="B30" i="23"/>
  <c r="D29" i="23"/>
  <c r="C29" i="23"/>
  <c r="B29" i="23"/>
  <c r="D28" i="23"/>
  <c r="C28" i="23"/>
  <c r="E28" i="23" s="1"/>
  <c r="B28" i="23"/>
  <c r="B106" i="23" s="1"/>
  <c r="D27" i="23"/>
  <c r="C27" i="23"/>
  <c r="C117" i="23" s="1"/>
  <c r="B27" i="23"/>
  <c r="B105" i="23" s="1"/>
  <c r="D22" i="23"/>
  <c r="C22" i="23"/>
  <c r="C100" i="23" s="1"/>
  <c r="B22" i="23"/>
  <c r="B100" i="23" s="1"/>
  <c r="E21" i="23"/>
  <c r="D21" i="23"/>
  <c r="C21" i="23"/>
  <c r="C99" i="23" s="1"/>
  <c r="B21" i="23"/>
  <c r="B99" i="23" s="1"/>
  <c r="D20" i="23"/>
  <c r="G20" i="23" s="1"/>
  <c r="C20" i="23"/>
  <c r="B20" i="23"/>
  <c r="B98" i="23" s="1"/>
  <c r="D19" i="23"/>
  <c r="C19" i="23"/>
  <c r="B19" i="23"/>
  <c r="B97" i="23" s="1"/>
  <c r="D18" i="23"/>
  <c r="C18" i="23"/>
  <c r="B18" i="23"/>
  <c r="D17" i="23"/>
  <c r="D50" i="23" s="1"/>
  <c r="C17" i="23"/>
  <c r="E17" i="23" s="1"/>
  <c r="B17" i="23"/>
  <c r="B95" i="23" s="1"/>
  <c r="D16" i="23"/>
  <c r="C16" i="23"/>
  <c r="C23" i="23" s="1"/>
  <c r="B16" i="23"/>
  <c r="B94" i="23" s="1"/>
  <c r="F12" i="23"/>
  <c r="D12" i="23"/>
  <c r="C12" i="23"/>
  <c r="B12" i="23"/>
  <c r="G12" i="23" s="1"/>
  <c r="G10" i="23"/>
  <c r="E10" i="23"/>
  <c r="G9" i="23"/>
  <c r="E9" i="23"/>
  <c r="G7" i="23"/>
  <c r="F7" i="23"/>
  <c r="E7" i="23"/>
  <c r="G6" i="23"/>
  <c r="F6" i="23"/>
  <c r="E6" i="23"/>
  <c r="G5" i="23"/>
  <c r="F5" i="23"/>
  <c r="E5" i="23"/>
  <c r="W7" i="21"/>
  <c r="V7" i="21"/>
  <c r="U7" i="21"/>
  <c r="T7" i="21"/>
  <c r="S7" i="21"/>
  <c r="P51" i="20"/>
  <c r="O51" i="20"/>
  <c r="N51" i="20"/>
  <c r="M51" i="20"/>
  <c r="L51" i="20"/>
  <c r="K51" i="20"/>
  <c r="J51" i="20"/>
  <c r="I51" i="20"/>
  <c r="H51" i="20"/>
  <c r="G51" i="20"/>
  <c r="F51" i="20"/>
  <c r="E51" i="20"/>
  <c r="D51" i="20"/>
  <c r="L50" i="20"/>
  <c r="J50" i="20"/>
  <c r="I50" i="20"/>
  <c r="D50" i="20"/>
  <c r="N49" i="20"/>
  <c r="I49" i="20"/>
  <c r="F49" i="20"/>
  <c r="E44" i="20"/>
  <c r="F44" i="20" s="1"/>
  <c r="G44" i="20" s="1"/>
  <c r="H44" i="20" s="1"/>
  <c r="I44" i="20" s="1"/>
  <c r="J44" i="20" s="1"/>
  <c r="K44" i="20" s="1"/>
  <c r="L44" i="20" s="1"/>
  <c r="M44" i="20" s="1"/>
  <c r="N44" i="20" s="1"/>
  <c r="O44" i="20" s="1"/>
  <c r="P44" i="20" s="1"/>
  <c r="I43" i="20"/>
  <c r="J43" i="20" s="1"/>
  <c r="K43" i="20" s="1"/>
  <c r="L43" i="20" s="1"/>
  <c r="M43" i="20" s="1"/>
  <c r="N43" i="20" s="1"/>
  <c r="O43" i="20" s="1"/>
  <c r="P43" i="20" s="1"/>
  <c r="D40" i="20"/>
  <c r="D35" i="20"/>
  <c r="D23" i="20"/>
  <c r="K50" i="20" s="1"/>
  <c r="D15" i="20"/>
  <c r="P49" i="20" s="1"/>
  <c r="D12" i="20"/>
  <c r="D46" i="20" s="1"/>
  <c r="N37" i="19"/>
  <c r="F37" i="19"/>
  <c r="M35" i="19"/>
  <c r="M36" i="19" s="1"/>
  <c r="M37" i="19" s="1"/>
  <c r="M34" i="19"/>
  <c r="G33" i="19"/>
  <c r="G34" i="19" s="1"/>
  <c r="G35" i="19" s="1"/>
  <c r="G36" i="19" s="1"/>
  <c r="G37" i="19" s="1"/>
  <c r="O32" i="19"/>
  <c r="O33" i="19" s="1"/>
  <c r="O34" i="19" s="1"/>
  <c r="O35" i="19" s="1"/>
  <c r="O36" i="19" s="1"/>
  <c r="O37" i="19" s="1"/>
  <c r="M32" i="19"/>
  <c r="M33" i="19" s="1"/>
  <c r="L32" i="19"/>
  <c r="L33" i="19" s="1"/>
  <c r="L34" i="19" s="1"/>
  <c r="L35" i="19" s="1"/>
  <c r="L36" i="19" s="1"/>
  <c r="L37" i="19" s="1"/>
  <c r="G32" i="19"/>
  <c r="E32" i="19"/>
  <c r="E33" i="19" s="1"/>
  <c r="E34" i="19" s="1"/>
  <c r="E35" i="19" s="1"/>
  <c r="E36" i="19" s="1"/>
  <c r="E37" i="19" s="1"/>
  <c r="D32" i="19"/>
  <c r="D33" i="19" s="1"/>
  <c r="D34" i="19" s="1"/>
  <c r="D35" i="19" s="1"/>
  <c r="D36" i="19" s="1"/>
  <c r="D37" i="19" s="1"/>
  <c r="I31" i="19"/>
  <c r="J31" i="19" s="1"/>
  <c r="K31" i="19" s="1"/>
  <c r="L31" i="19" s="1"/>
  <c r="M31" i="19" s="1"/>
  <c r="N31" i="19" s="1"/>
  <c r="O31" i="19" s="1"/>
  <c r="P31" i="19" s="1"/>
  <c r="E31" i="19"/>
  <c r="F31" i="19" s="1"/>
  <c r="G31" i="19" s="1"/>
  <c r="H31" i="19" s="1"/>
  <c r="D27" i="19"/>
  <c r="P26" i="19"/>
  <c r="P32" i="19" s="1"/>
  <c r="P33" i="19" s="1"/>
  <c r="P34" i="19" s="1"/>
  <c r="P35" i="19" s="1"/>
  <c r="P36" i="19" s="1"/>
  <c r="P37" i="19" s="1"/>
  <c r="O26" i="19"/>
  <c r="N26" i="19"/>
  <c r="N32" i="19" s="1"/>
  <c r="N33" i="19" s="1"/>
  <c r="N34" i="19" s="1"/>
  <c r="N35" i="19" s="1"/>
  <c r="N36" i="19" s="1"/>
  <c r="M26" i="19"/>
  <c r="L26" i="19"/>
  <c r="K26" i="19"/>
  <c r="K32" i="19" s="1"/>
  <c r="K33" i="19" s="1"/>
  <c r="K34" i="19" s="1"/>
  <c r="K35" i="19" s="1"/>
  <c r="K36" i="19" s="1"/>
  <c r="K37" i="19" s="1"/>
  <c r="J26" i="19"/>
  <c r="J32" i="19" s="1"/>
  <c r="J33" i="19" s="1"/>
  <c r="J34" i="19" s="1"/>
  <c r="J35" i="19" s="1"/>
  <c r="J36" i="19" s="1"/>
  <c r="J37" i="19" s="1"/>
  <c r="I26" i="19"/>
  <c r="I32" i="19" s="1"/>
  <c r="I33" i="19" s="1"/>
  <c r="I34" i="19" s="1"/>
  <c r="I35" i="19" s="1"/>
  <c r="I36" i="19" s="1"/>
  <c r="I37" i="19" s="1"/>
  <c r="H26" i="19"/>
  <c r="H32" i="19" s="1"/>
  <c r="H33" i="19" s="1"/>
  <c r="H34" i="19" s="1"/>
  <c r="H35" i="19" s="1"/>
  <c r="H36" i="19" s="1"/>
  <c r="H37" i="19" s="1"/>
  <c r="G26" i="19"/>
  <c r="F26" i="19"/>
  <c r="F32" i="19" s="1"/>
  <c r="F33" i="19" s="1"/>
  <c r="F34" i="19" s="1"/>
  <c r="F35" i="19" s="1"/>
  <c r="F36" i="19" s="1"/>
  <c r="D25" i="19"/>
  <c r="E25" i="19" s="1"/>
  <c r="F25" i="19" s="1"/>
  <c r="G25" i="19" s="1"/>
  <c r="H25" i="19" s="1"/>
  <c r="I25" i="19" s="1"/>
  <c r="J25" i="19" s="1"/>
  <c r="K25" i="19" s="1"/>
  <c r="L25" i="19" s="1"/>
  <c r="M25" i="19" s="1"/>
  <c r="N25" i="19" s="1"/>
  <c r="O25" i="19" s="1"/>
  <c r="P25" i="19" s="1"/>
  <c r="D19" i="19"/>
  <c r="D17" i="19"/>
  <c r="P73" i="18"/>
  <c r="O73" i="18"/>
  <c r="N73" i="18"/>
  <c r="M73" i="18"/>
  <c r="L73" i="18"/>
  <c r="K73" i="18"/>
  <c r="J73" i="18"/>
  <c r="I73" i="18"/>
  <c r="H73" i="18"/>
  <c r="G73" i="18"/>
  <c r="F73" i="18"/>
  <c r="E73" i="18"/>
  <c r="D73" i="18"/>
  <c r="E34" i="18"/>
  <c r="F34" i="18" s="1"/>
  <c r="G34" i="18" s="1"/>
  <c r="H34" i="18" s="1"/>
  <c r="I34" i="18" s="1"/>
  <c r="J34" i="18" s="1"/>
  <c r="K34" i="18" s="1"/>
  <c r="L34" i="18" s="1"/>
  <c r="M34" i="18" s="1"/>
  <c r="N34" i="18" s="1"/>
  <c r="O34" i="18" s="1"/>
  <c r="P34" i="18" s="1"/>
  <c r="D31" i="18"/>
  <c r="D17" i="18"/>
  <c r="D16" i="18"/>
  <c r="D15" i="18"/>
  <c r="D14" i="18"/>
  <c r="D13" i="18"/>
  <c r="D12" i="18"/>
  <c r="D50" i="18" s="1"/>
  <c r="E50" i="18" s="1"/>
  <c r="F50" i="18" s="1"/>
  <c r="G50" i="18" s="1"/>
  <c r="H50" i="18" s="1"/>
  <c r="I50" i="18" s="1"/>
  <c r="J50" i="18" s="1"/>
  <c r="K50" i="18" s="1"/>
  <c r="L50" i="18" s="1"/>
  <c r="M50" i="18" s="1"/>
  <c r="N50" i="18" s="1"/>
  <c r="O50" i="18" s="1"/>
  <c r="P50" i="18" s="1"/>
  <c r="P83" i="17"/>
  <c r="O83" i="17"/>
  <c r="N83" i="17"/>
  <c r="M83" i="17"/>
  <c r="L83" i="17"/>
  <c r="K83" i="17"/>
  <c r="J83" i="17"/>
  <c r="I83" i="17"/>
  <c r="H83" i="17"/>
  <c r="G83" i="17"/>
  <c r="F83" i="17"/>
  <c r="E83" i="17"/>
  <c r="D83" i="17"/>
  <c r="D55" i="17"/>
  <c r="E55" i="17" s="1"/>
  <c r="F55" i="17" s="1"/>
  <c r="G55" i="17" s="1"/>
  <c r="H55" i="17" s="1"/>
  <c r="I55" i="17" s="1"/>
  <c r="J55" i="17" s="1"/>
  <c r="K55" i="17" s="1"/>
  <c r="L55" i="17" s="1"/>
  <c r="M55" i="17" s="1"/>
  <c r="N55" i="17" s="1"/>
  <c r="O55" i="17" s="1"/>
  <c r="P55" i="17" s="1"/>
  <c r="Q50" i="17"/>
  <c r="K34" i="17"/>
  <c r="L34" i="17" s="1"/>
  <c r="M34" i="17" s="1"/>
  <c r="N34" i="17" s="1"/>
  <c r="O34" i="17" s="1"/>
  <c r="P34" i="17" s="1"/>
  <c r="F34" i="17"/>
  <c r="G34" i="17" s="1"/>
  <c r="H34" i="17" s="1"/>
  <c r="I34" i="17" s="1"/>
  <c r="J34" i="17" s="1"/>
  <c r="E34" i="17"/>
  <c r="D31" i="17"/>
  <c r="D17" i="17"/>
  <c r="D16" i="17"/>
  <c r="D15" i="17"/>
  <c r="D14" i="17"/>
  <c r="D54" i="17" s="1"/>
  <c r="E54" i="17" s="1"/>
  <c r="F54" i="17" s="1"/>
  <c r="G54" i="17" s="1"/>
  <c r="H54" i="17" s="1"/>
  <c r="I54" i="17" s="1"/>
  <c r="J54" i="17" s="1"/>
  <c r="K54" i="17" s="1"/>
  <c r="L54" i="17" s="1"/>
  <c r="M54" i="17" s="1"/>
  <c r="N54" i="17" s="1"/>
  <c r="O54" i="17" s="1"/>
  <c r="P54" i="17" s="1"/>
  <c r="D13" i="17"/>
  <c r="D56" i="17" s="1"/>
  <c r="E56" i="17" s="1"/>
  <c r="F56" i="17" s="1"/>
  <c r="G56" i="17" s="1"/>
  <c r="H56" i="17" s="1"/>
  <c r="I56" i="17" s="1"/>
  <c r="J56" i="17" s="1"/>
  <c r="K56" i="17" s="1"/>
  <c r="L56" i="17" s="1"/>
  <c r="M56" i="17" s="1"/>
  <c r="N56" i="17" s="1"/>
  <c r="O56" i="17" s="1"/>
  <c r="P56" i="17" s="1"/>
  <c r="D12" i="17"/>
  <c r="P67" i="16"/>
  <c r="O67" i="16"/>
  <c r="N67" i="16"/>
  <c r="M67" i="16"/>
  <c r="L67" i="16"/>
  <c r="K67" i="16"/>
  <c r="J67" i="16"/>
  <c r="I67" i="16"/>
  <c r="H67" i="16"/>
  <c r="G67" i="16"/>
  <c r="F67" i="16"/>
  <c r="E67" i="16"/>
  <c r="D67" i="16"/>
  <c r="E34" i="16"/>
  <c r="F34" i="16" s="1"/>
  <c r="G34" i="16" s="1"/>
  <c r="H34" i="16" s="1"/>
  <c r="I34" i="16" s="1"/>
  <c r="J34" i="16" s="1"/>
  <c r="K34" i="16" s="1"/>
  <c r="L34" i="16" s="1"/>
  <c r="M34" i="16" s="1"/>
  <c r="N34" i="16" s="1"/>
  <c r="O34" i="16" s="1"/>
  <c r="P34" i="16" s="1"/>
  <c r="D31" i="16"/>
  <c r="D16" i="16"/>
  <c r="D15" i="16"/>
  <c r="D14" i="16"/>
  <c r="D13" i="16"/>
  <c r="D12" i="16"/>
  <c r="I159" i="15"/>
  <c r="J159" i="15" s="1"/>
  <c r="K159" i="15" s="1"/>
  <c r="L159" i="15" s="1"/>
  <c r="M159" i="15" s="1"/>
  <c r="N159" i="15" s="1"/>
  <c r="O159" i="15" s="1"/>
  <c r="P159" i="15" s="1"/>
  <c r="H158" i="15"/>
  <c r="I158" i="15" s="1"/>
  <c r="J158" i="15" s="1"/>
  <c r="K158" i="15" s="1"/>
  <c r="L158" i="15" s="1"/>
  <c r="M158" i="15" s="1"/>
  <c r="N158" i="15" s="1"/>
  <c r="O158" i="15" s="1"/>
  <c r="P158" i="15" s="1"/>
  <c r="P142" i="15"/>
  <c r="O142" i="15"/>
  <c r="N142" i="15"/>
  <c r="M142" i="15"/>
  <c r="L142" i="15"/>
  <c r="K142" i="15"/>
  <c r="J142" i="15"/>
  <c r="I142" i="15"/>
  <c r="H142" i="15"/>
  <c r="G142" i="15"/>
  <c r="F142" i="15"/>
  <c r="E142" i="15"/>
  <c r="D142" i="15"/>
  <c r="P141" i="15"/>
  <c r="O141" i="15"/>
  <c r="N141" i="15"/>
  <c r="M141" i="15"/>
  <c r="L141" i="15"/>
  <c r="K141" i="15"/>
  <c r="J141" i="15"/>
  <c r="I141" i="15"/>
  <c r="H141" i="15"/>
  <c r="G141" i="15"/>
  <c r="F141" i="15"/>
  <c r="E141" i="15"/>
  <c r="D141" i="15"/>
  <c r="P140" i="15"/>
  <c r="O140" i="15"/>
  <c r="N140" i="15"/>
  <c r="M140" i="15"/>
  <c r="L140" i="15"/>
  <c r="K140" i="15"/>
  <c r="J140" i="15"/>
  <c r="I140" i="15"/>
  <c r="H140" i="15"/>
  <c r="G140" i="15"/>
  <c r="F140" i="15"/>
  <c r="E140" i="15"/>
  <c r="D140" i="15"/>
  <c r="P139" i="15"/>
  <c r="O139" i="15"/>
  <c r="N139" i="15"/>
  <c r="M139" i="15"/>
  <c r="L139" i="15"/>
  <c r="K139" i="15"/>
  <c r="J139" i="15"/>
  <c r="I139" i="15"/>
  <c r="H139" i="15"/>
  <c r="G139" i="15"/>
  <c r="F139" i="15"/>
  <c r="E139" i="15"/>
  <c r="D139" i="15"/>
  <c r="P138" i="15"/>
  <c r="O138" i="15"/>
  <c r="N138" i="15"/>
  <c r="M138" i="15"/>
  <c r="L138" i="15"/>
  <c r="K138" i="15"/>
  <c r="J138" i="15"/>
  <c r="I138" i="15"/>
  <c r="H138" i="15"/>
  <c r="G138" i="15"/>
  <c r="F138" i="15"/>
  <c r="E138" i="15"/>
  <c r="D138" i="15"/>
  <c r="P137" i="15"/>
  <c r="O137" i="15"/>
  <c r="N137" i="15"/>
  <c r="M137" i="15"/>
  <c r="L137" i="15"/>
  <c r="K137" i="15"/>
  <c r="J137" i="15"/>
  <c r="I137" i="15"/>
  <c r="H137" i="15"/>
  <c r="G137" i="15"/>
  <c r="F137" i="15"/>
  <c r="E137" i="15"/>
  <c r="D137" i="15"/>
  <c r="P136" i="15"/>
  <c r="O136" i="15"/>
  <c r="N136" i="15"/>
  <c r="M136" i="15"/>
  <c r="L136" i="15"/>
  <c r="K136" i="15"/>
  <c r="J136" i="15"/>
  <c r="I136" i="15"/>
  <c r="H136" i="15"/>
  <c r="G136" i="15"/>
  <c r="F136" i="15"/>
  <c r="E136" i="15"/>
  <c r="D136" i="15"/>
  <c r="P135" i="15"/>
  <c r="O135" i="15"/>
  <c r="N135" i="15"/>
  <c r="M135" i="15"/>
  <c r="L135" i="15"/>
  <c r="K135" i="15"/>
  <c r="J135" i="15"/>
  <c r="I135" i="15"/>
  <c r="H135" i="15"/>
  <c r="G135" i="15"/>
  <c r="F135" i="15"/>
  <c r="E135" i="15"/>
  <c r="D135" i="15"/>
  <c r="P134" i="15"/>
  <c r="O134" i="15"/>
  <c r="N134" i="15"/>
  <c r="M134" i="15"/>
  <c r="L134" i="15"/>
  <c r="K134" i="15"/>
  <c r="J134" i="15"/>
  <c r="I134" i="15"/>
  <c r="H134" i="15"/>
  <c r="G134" i="15"/>
  <c r="F134" i="15"/>
  <c r="E134" i="15"/>
  <c r="D134" i="15"/>
  <c r="P133" i="15"/>
  <c r="O133" i="15"/>
  <c r="N133" i="15"/>
  <c r="M133" i="15"/>
  <c r="L133" i="15"/>
  <c r="K133" i="15"/>
  <c r="J133" i="15"/>
  <c r="I133" i="15"/>
  <c r="H133" i="15"/>
  <c r="G133" i="15"/>
  <c r="F133" i="15"/>
  <c r="E133" i="15"/>
  <c r="D133" i="15"/>
  <c r="P132" i="15"/>
  <c r="O132" i="15"/>
  <c r="N132" i="15"/>
  <c r="M132" i="15"/>
  <c r="L132" i="15"/>
  <c r="K132" i="15"/>
  <c r="J132" i="15"/>
  <c r="I132" i="15"/>
  <c r="H132" i="15"/>
  <c r="G132" i="15"/>
  <c r="F132" i="15"/>
  <c r="E132" i="15"/>
  <c r="D132" i="15"/>
  <c r="F128" i="15"/>
  <c r="E125" i="15"/>
  <c r="D122" i="15"/>
  <c r="F120" i="15"/>
  <c r="D117" i="15"/>
  <c r="D159" i="15" s="1"/>
  <c r="E159" i="15" s="1"/>
  <c r="F159" i="15" s="1"/>
  <c r="G159" i="15" s="1"/>
  <c r="H159" i="15" s="1"/>
  <c r="H116" i="15"/>
  <c r="I116" i="15" s="1"/>
  <c r="J116" i="15" s="1"/>
  <c r="K116" i="15" s="1"/>
  <c r="L116" i="15" s="1"/>
  <c r="M116" i="15" s="1"/>
  <c r="N116" i="15" s="1"/>
  <c r="O116" i="15" s="1"/>
  <c r="P116" i="15" s="1"/>
  <c r="P100" i="15"/>
  <c r="O100" i="15"/>
  <c r="N100" i="15"/>
  <c r="M100" i="15"/>
  <c r="L100" i="15"/>
  <c r="K100" i="15"/>
  <c r="J100" i="15"/>
  <c r="I100" i="15"/>
  <c r="H100" i="15"/>
  <c r="G100" i="15"/>
  <c r="F100" i="15"/>
  <c r="E100" i="15"/>
  <c r="D100" i="15"/>
  <c r="P99" i="15"/>
  <c r="O99" i="15"/>
  <c r="N99" i="15"/>
  <c r="M99" i="15"/>
  <c r="L99" i="15"/>
  <c r="K99" i="15"/>
  <c r="J99" i="15"/>
  <c r="I99" i="15"/>
  <c r="H99" i="15"/>
  <c r="G99" i="15"/>
  <c r="F99" i="15"/>
  <c r="E99" i="15"/>
  <c r="D99" i="15"/>
  <c r="P98" i="15"/>
  <c r="O98" i="15"/>
  <c r="N98" i="15"/>
  <c r="M98" i="15"/>
  <c r="L98" i="15"/>
  <c r="K98" i="15"/>
  <c r="J98" i="15"/>
  <c r="I98" i="15"/>
  <c r="H98" i="15"/>
  <c r="G98" i="15"/>
  <c r="F98" i="15"/>
  <c r="E98" i="15"/>
  <c r="D98" i="15"/>
  <c r="P97" i="15"/>
  <c r="O97" i="15"/>
  <c r="N97" i="15"/>
  <c r="M97" i="15"/>
  <c r="L97" i="15"/>
  <c r="K97" i="15"/>
  <c r="J97" i="15"/>
  <c r="I97" i="15"/>
  <c r="H97" i="15"/>
  <c r="G97" i="15"/>
  <c r="F97" i="15"/>
  <c r="E97" i="15"/>
  <c r="D97" i="15"/>
  <c r="P96" i="15"/>
  <c r="O96" i="15"/>
  <c r="N96" i="15"/>
  <c r="M96" i="15"/>
  <c r="L96" i="15"/>
  <c r="K96" i="15"/>
  <c r="J96" i="15"/>
  <c r="I96" i="15"/>
  <c r="H96" i="15"/>
  <c r="G96" i="15"/>
  <c r="F96" i="15"/>
  <c r="E96" i="15"/>
  <c r="D96" i="15"/>
  <c r="P95" i="15"/>
  <c r="O95" i="15"/>
  <c r="N95" i="15"/>
  <c r="M95" i="15"/>
  <c r="L95" i="15"/>
  <c r="K95" i="15"/>
  <c r="J95" i="15"/>
  <c r="I95" i="15"/>
  <c r="H95" i="15"/>
  <c r="G95" i="15"/>
  <c r="F95" i="15"/>
  <c r="E95" i="15"/>
  <c r="D95" i="15"/>
  <c r="P94" i="15"/>
  <c r="O94" i="15"/>
  <c r="N94" i="15"/>
  <c r="M94" i="15"/>
  <c r="L94" i="15"/>
  <c r="K94" i="15"/>
  <c r="J94" i="15"/>
  <c r="I94" i="15"/>
  <c r="H94" i="15"/>
  <c r="G94" i="15"/>
  <c r="F94" i="15"/>
  <c r="E94" i="15"/>
  <c r="D94" i="15"/>
  <c r="P93" i="15"/>
  <c r="O93" i="15"/>
  <c r="N93" i="15"/>
  <c r="M93" i="15"/>
  <c r="L93" i="15"/>
  <c r="K93" i="15"/>
  <c r="J93" i="15"/>
  <c r="I93" i="15"/>
  <c r="H93" i="15"/>
  <c r="G93" i="15"/>
  <c r="F93" i="15"/>
  <c r="E93" i="15"/>
  <c r="D93" i="15"/>
  <c r="P92" i="15"/>
  <c r="O92" i="15"/>
  <c r="N92" i="15"/>
  <c r="M92" i="15"/>
  <c r="L92" i="15"/>
  <c r="K92" i="15"/>
  <c r="J92" i="15"/>
  <c r="I92" i="15"/>
  <c r="H92" i="15"/>
  <c r="G92" i="15"/>
  <c r="F92" i="15"/>
  <c r="E92" i="15"/>
  <c r="D92" i="15"/>
  <c r="P91" i="15"/>
  <c r="O91" i="15"/>
  <c r="N91" i="15"/>
  <c r="M91" i="15"/>
  <c r="L91" i="15"/>
  <c r="K91" i="15"/>
  <c r="J91" i="15"/>
  <c r="I91" i="15"/>
  <c r="H91" i="15"/>
  <c r="G91" i="15"/>
  <c r="F91" i="15"/>
  <c r="E91" i="15"/>
  <c r="D91" i="15"/>
  <c r="P90" i="15"/>
  <c r="O90" i="15"/>
  <c r="N90" i="15"/>
  <c r="M90" i="15"/>
  <c r="L90" i="15"/>
  <c r="K90" i="15"/>
  <c r="J90" i="15"/>
  <c r="I90" i="15"/>
  <c r="H90" i="15"/>
  <c r="G90" i="15"/>
  <c r="F90" i="15"/>
  <c r="E90" i="15"/>
  <c r="D90" i="15"/>
  <c r="E86" i="15"/>
  <c r="E111" i="15" s="1"/>
  <c r="D86" i="15"/>
  <c r="D111" i="15" s="1"/>
  <c r="F84" i="15"/>
  <c r="F109" i="15" s="1"/>
  <c r="D83" i="15"/>
  <c r="D108" i="15" s="1"/>
  <c r="F81" i="15"/>
  <c r="F106" i="15" s="1"/>
  <c r="E81" i="15"/>
  <c r="E106" i="15" s="1"/>
  <c r="E78" i="15"/>
  <c r="E103" i="15" s="1"/>
  <c r="D78" i="15"/>
  <c r="D103" i="15" s="1"/>
  <c r="F74" i="15"/>
  <c r="F129" i="15" s="1"/>
  <c r="E74" i="15"/>
  <c r="E129" i="15" s="1"/>
  <c r="D74" i="15"/>
  <c r="D129" i="15" s="1"/>
  <c r="F73" i="15"/>
  <c r="G73" i="15" s="1"/>
  <c r="G128" i="15" s="1"/>
  <c r="E73" i="15"/>
  <c r="E128" i="15" s="1"/>
  <c r="D73" i="15"/>
  <c r="D128" i="15" s="1"/>
  <c r="F72" i="15"/>
  <c r="E72" i="15"/>
  <c r="E127" i="15" s="1"/>
  <c r="D72" i="15"/>
  <c r="D127" i="15" s="1"/>
  <c r="D152" i="15" s="1"/>
  <c r="F71" i="15"/>
  <c r="F126" i="15" s="1"/>
  <c r="E71" i="15"/>
  <c r="E126" i="15" s="1"/>
  <c r="D71" i="15"/>
  <c r="D126" i="15" s="1"/>
  <c r="H70" i="15"/>
  <c r="G70" i="15"/>
  <c r="G125" i="15" s="1"/>
  <c r="F70" i="15"/>
  <c r="F125" i="15" s="1"/>
  <c r="E70" i="15"/>
  <c r="D70" i="15"/>
  <c r="D125" i="15" s="1"/>
  <c r="G69" i="15"/>
  <c r="F69" i="15"/>
  <c r="F124" i="15" s="1"/>
  <c r="E69" i="15"/>
  <c r="E124" i="15" s="1"/>
  <c r="D69" i="15"/>
  <c r="D124" i="15" s="1"/>
  <c r="F68" i="15"/>
  <c r="F123" i="15" s="1"/>
  <c r="E68" i="15"/>
  <c r="E123" i="15" s="1"/>
  <c r="D68" i="15"/>
  <c r="D123" i="15" s="1"/>
  <c r="F67" i="15"/>
  <c r="F122" i="15" s="1"/>
  <c r="E67" i="15"/>
  <c r="E122" i="15" s="1"/>
  <c r="E147" i="15" s="1"/>
  <c r="D67" i="15"/>
  <c r="F66" i="15"/>
  <c r="E66" i="15"/>
  <c r="E121" i="15" s="1"/>
  <c r="D66" i="15"/>
  <c r="D121" i="15" s="1"/>
  <c r="F65" i="15"/>
  <c r="E65" i="15"/>
  <c r="E120" i="15" s="1"/>
  <c r="D65" i="15"/>
  <c r="D120" i="15" s="1"/>
  <c r="F64" i="15"/>
  <c r="E64" i="15"/>
  <c r="D64" i="15"/>
  <c r="D75" i="15" s="1"/>
  <c r="P61" i="15"/>
  <c r="O61" i="15"/>
  <c r="N61" i="15"/>
  <c r="M61" i="15"/>
  <c r="L61" i="15"/>
  <c r="K61" i="15"/>
  <c r="J61" i="15"/>
  <c r="I61" i="15"/>
  <c r="H61" i="15"/>
  <c r="G61" i="15"/>
  <c r="F61" i="15"/>
  <c r="F87" i="15" s="1"/>
  <c r="F112" i="15" s="1"/>
  <c r="E61" i="15"/>
  <c r="E87" i="15" s="1"/>
  <c r="E112" i="15" s="1"/>
  <c r="D61" i="15"/>
  <c r="D87" i="15" s="1"/>
  <c r="D112" i="15" s="1"/>
  <c r="P60" i="15"/>
  <c r="O60" i="15"/>
  <c r="N60" i="15"/>
  <c r="M60" i="15"/>
  <c r="L60" i="15"/>
  <c r="K60" i="15"/>
  <c r="J60" i="15"/>
  <c r="I60" i="15"/>
  <c r="H60" i="15"/>
  <c r="G60" i="15"/>
  <c r="G86" i="15" s="1"/>
  <c r="G111" i="15" s="1"/>
  <c r="F60" i="15"/>
  <c r="F86" i="15" s="1"/>
  <c r="F111" i="15" s="1"/>
  <c r="E60" i="15"/>
  <c r="D60" i="15"/>
  <c r="P59" i="15"/>
  <c r="O59" i="15"/>
  <c r="N59" i="15"/>
  <c r="M59" i="15"/>
  <c r="L59" i="15"/>
  <c r="K59" i="15"/>
  <c r="J59" i="15"/>
  <c r="I59" i="15"/>
  <c r="H59" i="15"/>
  <c r="G59" i="15"/>
  <c r="F59" i="15"/>
  <c r="F85" i="15" s="1"/>
  <c r="F110" i="15" s="1"/>
  <c r="E59" i="15"/>
  <c r="E85" i="15" s="1"/>
  <c r="E110" i="15" s="1"/>
  <c r="D59" i="15"/>
  <c r="D85" i="15" s="1"/>
  <c r="D110" i="15" s="1"/>
  <c r="P58" i="15"/>
  <c r="O58" i="15"/>
  <c r="N58" i="15"/>
  <c r="M58" i="15"/>
  <c r="L58" i="15"/>
  <c r="K58" i="15"/>
  <c r="J58" i="15"/>
  <c r="I58" i="15"/>
  <c r="H58" i="15"/>
  <c r="G58" i="15"/>
  <c r="F58" i="15"/>
  <c r="E58" i="15"/>
  <c r="D58" i="15"/>
  <c r="D84" i="15" s="1"/>
  <c r="D109" i="15" s="1"/>
  <c r="P57" i="15"/>
  <c r="O57" i="15"/>
  <c r="N57" i="15"/>
  <c r="M57" i="15"/>
  <c r="L57" i="15"/>
  <c r="K57" i="15"/>
  <c r="J57" i="15"/>
  <c r="I57" i="15"/>
  <c r="H57" i="15"/>
  <c r="H83" i="15" s="1"/>
  <c r="H108" i="15" s="1"/>
  <c r="G57" i="15"/>
  <c r="G83" i="15" s="1"/>
  <c r="G108" i="15" s="1"/>
  <c r="F57" i="15"/>
  <c r="F83" i="15" s="1"/>
  <c r="F108" i="15" s="1"/>
  <c r="E57" i="15"/>
  <c r="E83" i="15" s="1"/>
  <c r="E108" i="15" s="1"/>
  <c r="D57" i="15"/>
  <c r="P56" i="15"/>
  <c r="O56" i="15"/>
  <c r="N56" i="15"/>
  <c r="M56" i="15"/>
  <c r="L56" i="15"/>
  <c r="K56" i="15"/>
  <c r="J56" i="15"/>
  <c r="I56" i="15"/>
  <c r="H56" i="15"/>
  <c r="G56" i="15"/>
  <c r="G82" i="15" s="1"/>
  <c r="G107" i="15" s="1"/>
  <c r="F56" i="15"/>
  <c r="F82" i="15" s="1"/>
  <c r="F107" i="15" s="1"/>
  <c r="E56" i="15"/>
  <c r="D56" i="15"/>
  <c r="P55" i="15"/>
  <c r="O55" i="15"/>
  <c r="N55" i="15"/>
  <c r="M55" i="15"/>
  <c r="L55" i="15"/>
  <c r="K55" i="15"/>
  <c r="J55" i="15"/>
  <c r="I55" i="15"/>
  <c r="H55" i="15"/>
  <c r="G55" i="15"/>
  <c r="F55" i="15"/>
  <c r="E55" i="15"/>
  <c r="D55" i="15"/>
  <c r="D81" i="15" s="1"/>
  <c r="D106" i="15" s="1"/>
  <c r="P54" i="15"/>
  <c r="O54" i="15"/>
  <c r="N54" i="15"/>
  <c r="M54" i="15"/>
  <c r="L54" i="15"/>
  <c r="K54" i="15"/>
  <c r="J54" i="15"/>
  <c r="I54" i="15"/>
  <c r="H54" i="15"/>
  <c r="G54" i="15"/>
  <c r="F54" i="15"/>
  <c r="F80" i="15" s="1"/>
  <c r="F105" i="15" s="1"/>
  <c r="E54" i="15"/>
  <c r="E80" i="15" s="1"/>
  <c r="E105" i="15" s="1"/>
  <c r="D54" i="15"/>
  <c r="D80" i="15" s="1"/>
  <c r="D105" i="15" s="1"/>
  <c r="P53" i="15"/>
  <c r="O53" i="15"/>
  <c r="N53" i="15"/>
  <c r="M53" i="15"/>
  <c r="L53" i="15"/>
  <c r="K53" i="15"/>
  <c r="J53" i="15"/>
  <c r="I53" i="15"/>
  <c r="H53" i="15"/>
  <c r="G53" i="15"/>
  <c r="F53" i="15"/>
  <c r="F79" i="15" s="1"/>
  <c r="F104" i="15" s="1"/>
  <c r="E53" i="15"/>
  <c r="E79" i="15" s="1"/>
  <c r="E104" i="15" s="1"/>
  <c r="D53" i="15"/>
  <c r="D79" i="15" s="1"/>
  <c r="D104" i="15" s="1"/>
  <c r="P52" i="15"/>
  <c r="O52" i="15"/>
  <c r="N52" i="15"/>
  <c r="M52" i="15"/>
  <c r="L52" i="15"/>
  <c r="K52" i="15"/>
  <c r="J52" i="15"/>
  <c r="I52" i="15"/>
  <c r="H52" i="15"/>
  <c r="G52" i="15"/>
  <c r="G78" i="15" s="1"/>
  <c r="G103" i="15" s="1"/>
  <c r="F52" i="15"/>
  <c r="F78" i="15" s="1"/>
  <c r="F103" i="15" s="1"/>
  <c r="E52" i="15"/>
  <c r="D52" i="15"/>
  <c r="P51" i="15"/>
  <c r="O51" i="15"/>
  <c r="N51" i="15"/>
  <c r="M51" i="15"/>
  <c r="L51" i="15"/>
  <c r="K51" i="15"/>
  <c r="J51" i="15"/>
  <c r="I51" i="15"/>
  <c r="H51" i="15"/>
  <c r="G51" i="15"/>
  <c r="F51" i="15"/>
  <c r="E51" i="15"/>
  <c r="D51" i="15"/>
  <c r="D77" i="15" s="1"/>
  <c r="E36" i="15"/>
  <c r="F36" i="15" s="1"/>
  <c r="G36" i="15" s="1"/>
  <c r="H36" i="15" s="1"/>
  <c r="I36" i="15" s="1"/>
  <c r="J36" i="15" s="1"/>
  <c r="K36" i="15" s="1"/>
  <c r="L36" i="15" s="1"/>
  <c r="M36" i="15" s="1"/>
  <c r="N36" i="15" s="1"/>
  <c r="O36" i="15" s="1"/>
  <c r="P36" i="15" s="1"/>
  <c r="L35" i="15"/>
  <c r="M35" i="15" s="1"/>
  <c r="N35" i="15" s="1"/>
  <c r="O35" i="15" s="1"/>
  <c r="P35" i="15" s="1"/>
  <c r="J35" i="15"/>
  <c r="K35" i="15" s="1"/>
  <c r="I35" i="15"/>
  <c r="H35" i="15"/>
  <c r="D32" i="15"/>
  <c r="D28" i="15"/>
  <c r="G65" i="15" s="1"/>
  <c r="G120" i="15" s="1"/>
  <c r="F23" i="15"/>
  <c r="E23" i="15"/>
  <c r="D23" i="15"/>
  <c r="E190" i="14"/>
  <c r="F190" i="14" s="1"/>
  <c r="G190" i="14" s="1"/>
  <c r="H190" i="14" s="1"/>
  <c r="I190" i="14" s="1"/>
  <c r="J190" i="14" s="1"/>
  <c r="K190" i="14" s="1"/>
  <c r="L190" i="14" s="1"/>
  <c r="M190" i="14" s="1"/>
  <c r="N190" i="14" s="1"/>
  <c r="O190" i="14" s="1"/>
  <c r="P190" i="14" s="1"/>
  <c r="D190" i="14"/>
  <c r="H189" i="14"/>
  <c r="I189" i="14" s="1"/>
  <c r="J189" i="14" s="1"/>
  <c r="K189" i="14" s="1"/>
  <c r="L189" i="14" s="1"/>
  <c r="M189" i="14" s="1"/>
  <c r="N189" i="14" s="1"/>
  <c r="O189" i="14" s="1"/>
  <c r="P189" i="14" s="1"/>
  <c r="P169" i="14"/>
  <c r="O169" i="14"/>
  <c r="N169" i="14"/>
  <c r="M169" i="14"/>
  <c r="L169" i="14"/>
  <c r="K169" i="14"/>
  <c r="J169" i="14"/>
  <c r="I169" i="14"/>
  <c r="H169" i="14"/>
  <c r="G169" i="14"/>
  <c r="F169" i="14"/>
  <c r="E169" i="14"/>
  <c r="D169" i="14"/>
  <c r="P168" i="14"/>
  <c r="O168" i="14"/>
  <c r="N168" i="14"/>
  <c r="M168" i="14"/>
  <c r="L168" i="14"/>
  <c r="K168" i="14"/>
  <c r="J168" i="14"/>
  <c r="I168" i="14"/>
  <c r="H168" i="14"/>
  <c r="G168" i="14"/>
  <c r="F168" i="14"/>
  <c r="E168" i="14"/>
  <c r="D168" i="14"/>
  <c r="P167" i="14"/>
  <c r="O167" i="14"/>
  <c r="N167" i="14"/>
  <c r="M167" i="14"/>
  <c r="L167" i="14"/>
  <c r="K167" i="14"/>
  <c r="J167" i="14"/>
  <c r="I167" i="14"/>
  <c r="H167" i="14"/>
  <c r="G167" i="14"/>
  <c r="F167" i="14"/>
  <c r="E167" i="14"/>
  <c r="D167" i="14"/>
  <c r="P166" i="14"/>
  <c r="O166" i="14"/>
  <c r="N166" i="14"/>
  <c r="M166" i="14"/>
  <c r="L166" i="14"/>
  <c r="K166" i="14"/>
  <c r="J166" i="14"/>
  <c r="I166" i="14"/>
  <c r="H166" i="14"/>
  <c r="G166" i="14"/>
  <c r="F166" i="14"/>
  <c r="E166" i="14"/>
  <c r="D166" i="14"/>
  <c r="P165" i="14"/>
  <c r="O165" i="14"/>
  <c r="N165" i="14"/>
  <c r="M165" i="14"/>
  <c r="L165" i="14"/>
  <c r="K165" i="14"/>
  <c r="J165" i="14"/>
  <c r="I165" i="14"/>
  <c r="H165" i="14"/>
  <c r="G165" i="14"/>
  <c r="F165" i="14"/>
  <c r="E165" i="14"/>
  <c r="D165" i="14"/>
  <c r="P164" i="14"/>
  <c r="O164" i="14"/>
  <c r="N164" i="14"/>
  <c r="M164" i="14"/>
  <c r="L164" i="14"/>
  <c r="K164" i="14"/>
  <c r="J164" i="14"/>
  <c r="I164" i="14"/>
  <c r="H164" i="14"/>
  <c r="G164" i="14"/>
  <c r="F164" i="14"/>
  <c r="E164" i="14"/>
  <c r="D164" i="14"/>
  <c r="P163" i="14"/>
  <c r="O163" i="14"/>
  <c r="N163" i="14"/>
  <c r="M163" i="14"/>
  <c r="L163" i="14"/>
  <c r="K163" i="14"/>
  <c r="J163" i="14"/>
  <c r="I163" i="14"/>
  <c r="H163" i="14"/>
  <c r="G163" i="14"/>
  <c r="F163" i="14"/>
  <c r="E163" i="14"/>
  <c r="D163" i="14"/>
  <c r="P162" i="14"/>
  <c r="O162" i="14"/>
  <c r="N162" i="14"/>
  <c r="M162" i="14"/>
  <c r="L162" i="14"/>
  <c r="K162" i="14"/>
  <c r="J162" i="14"/>
  <c r="I162" i="14"/>
  <c r="H162" i="14"/>
  <c r="G162" i="14"/>
  <c r="F162" i="14"/>
  <c r="E162" i="14"/>
  <c r="D162" i="14"/>
  <c r="P161" i="14"/>
  <c r="O161" i="14"/>
  <c r="N161" i="14"/>
  <c r="M161" i="14"/>
  <c r="L161" i="14"/>
  <c r="K161" i="14"/>
  <c r="J161" i="14"/>
  <c r="I161" i="14"/>
  <c r="H161" i="14"/>
  <c r="G161" i="14"/>
  <c r="F161" i="14"/>
  <c r="E161" i="14"/>
  <c r="D161" i="14"/>
  <c r="P160" i="14"/>
  <c r="O160" i="14"/>
  <c r="N160" i="14"/>
  <c r="M160" i="14"/>
  <c r="L160" i="14"/>
  <c r="K160" i="14"/>
  <c r="J160" i="14"/>
  <c r="I160" i="14"/>
  <c r="H160" i="14"/>
  <c r="G160" i="14"/>
  <c r="F160" i="14"/>
  <c r="E160" i="14"/>
  <c r="D160" i="14"/>
  <c r="P159" i="14"/>
  <c r="O159" i="14"/>
  <c r="N159" i="14"/>
  <c r="M159" i="14"/>
  <c r="L159" i="14"/>
  <c r="K159" i="14"/>
  <c r="J159" i="14"/>
  <c r="I159" i="14"/>
  <c r="H159" i="14"/>
  <c r="G159" i="14"/>
  <c r="F159" i="14"/>
  <c r="E159" i="14"/>
  <c r="D159" i="14"/>
  <c r="P158" i="14"/>
  <c r="O158" i="14"/>
  <c r="N158" i="14"/>
  <c r="M158" i="14"/>
  <c r="L158" i="14"/>
  <c r="K158" i="14"/>
  <c r="J158" i="14"/>
  <c r="I158" i="14"/>
  <c r="H158" i="14"/>
  <c r="G158" i="14"/>
  <c r="F158" i="14"/>
  <c r="E158" i="14"/>
  <c r="D158" i="14"/>
  <c r="P157" i="14"/>
  <c r="O157" i="14"/>
  <c r="N157" i="14"/>
  <c r="M157" i="14"/>
  <c r="L157" i="14"/>
  <c r="K157" i="14"/>
  <c r="J157" i="14"/>
  <c r="I157" i="14"/>
  <c r="H157" i="14"/>
  <c r="G157" i="14"/>
  <c r="F157" i="14"/>
  <c r="E157" i="14"/>
  <c r="D157" i="14"/>
  <c r="P156" i="14"/>
  <c r="O156" i="14"/>
  <c r="N156" i="14"/>
  <c r="M156" i="14"/>
  <c r="L156" i="14"/>
  <c r="K156" i="14"/>
  <c r="J156" i="14"/>
  <c r="I156" i="14"/>
  <c r="H156" i="14"/>
  <c r="G156" i="14"/>
  <c r="F156" i="14"/>
  <c r="E156" i="14"/>
  <c r="D156" i="14"/>
  <c r="E152" i="14"/>
  <c r="F150" i="14"/>
  <c r="F182" i="14" s="1"/>
  <c r="D149" i="14"/>
  <c r="F147" i="14"/>
  <c r="E147" i="14"/>
  <c r="E144" i="14"/>
  <c r="D144" i="14"/>
  <c r="D176" i="14" s="1"/>
  <c r="F142" i="14"/>
  <c r="F174" i="14" s="1"/>
  <c r="D141" i="14"/>
  <c r="M138" i="14"/>
  <c r="N138" i="14" s="1"/>
  <c r="O138" i="14" s="1"/>
  <c r="P138" i="14" s="1"/>
  <c r="F138" i="14"/>
  <c r="G138" i="14" s="1"/>
  <c r="H138" i="14" s="1"/>
  <c r="I138" i="14" s="1"/>
  <c r="J138" i="14" s="1"/>
  <c r="K138" i="14" s="1"/>
  <c r="L138" i="14" s="1"/>
  <c r="E138" i="14"/>
  <c r="D138" i="14"/>
  <c r="J137" i="14"/>
  <c r="K137" i="14" s="1"/>
  <c r="L137" i="14" s="1"/>
  <c r="M137" i="14" s="1"/>
  <c r="N137" i="14" s="1"/>
  <c r="O137" i="14" s="1"/>
  <c r="P137" i="14" s="1"/>
  <c r="H137" i="14"/>
  <c r="I137" i="14" s="1"/>
  <c r="D128" i="14"/>
  <c r="E123" i="14"/>
  <c r="D123" i="14"/>
  <c r="P117" i="14"/>
  <c r="O117" i="14"/>
  <c r="N117" i="14"/>
  <c r="M117" i="14"/>
  <c r="L117" i="14"/>
  <c r="K117" i="14"/>
  <c r="J117" i="14"/>
  <c r="I117" i="14"/>
  <c r="H117" i="14"/>
  <c r="G117" i="14"/>
  <c r="F117" i="14"/>
  <c r="E117" i="14"/>
  <c r="D117" i="14"/>
  <c r="P116" i="14"/>
  <c r="O116" i="14"/>
  <c r="N116" i="14"/>
  <c r="M116" i="14"/>
  <c r="L116" i="14"/>
  <c r="K116" i="14"/>
  <c r="J116" i="14"/>
  <c r="I116" i="14"/>
  <c r="H116" i="14"/>
  <c r="G116" i="14"/>
  <c r="F116" i="14"/>
  <c r="E116" i="14"/>
  <c r="D116" i="14"/>
  <c r="P115" i="14"/>
  <c r="O115" i="14"/>
  <c r="N115" i="14"/>
  <c r="M115" i="14"/>
  <c r="L115" i="14"/>
  <c r="K115" i="14"/>
  <c r="J115" i="14"/>
  <c r="I115" i="14"/>
  <c r="H115" i="14"/>
  <c r="G115" i="14"/>
  <c r="F115" i="14"/>
  <c r="E115" i="14"/>
  <c r="D115" i="14"/>
  <c r="P114" i="14"/>
  <c r="O114" i="14"/>
  <c r="N114" i="14"/>
  <c r="M114" i="14"/>
  <c r="L114" i="14"/>
  <c r="K114" i="14"/>
  <c r="J114" i="14"/>
  <c r="I114" i="14"/>
  <c r="H114" i="14"/>
  <c r="G114" i="14"/>
  <c r="F114" i="14"/>
  <c r="E114" i="14"/>
  <c r="D114" i="14"/>
  <c r="P113" i="14"/>
  <c r="O113" i="14"/>
  <c r="N113" i="14"/>
  <c r="M113" i="14"/>
  <c r="L113" i="14"/>
  <c r="K113" i="14"/>
  <c r="J113" i="14"/>
  <c r="I113" i="14"/>
  <c r="H113" i="14"/>
  <c r="G113" i="14"/>
  <c r="F113" i="14"/>
  <c r="E113" i="14"/>
  <c r="D113" i="14"/>
  <c r="P112" i="14"/>
  <c r="O112" i="14"/>
  <c r="N112" i="14"/>
  <c r="M112" i="14"/>
  <c r="L112" i="14"/>
  <c r="K112" i="14"/>
  <c r="J112" i="14"/>
  <c r="I112" i="14"/>
  <c r="H112" i="14"/>
  <c r="G112" i="14"/>
  <c r="F112" i="14"/>
  <c r="E112" i="14"/>
  <c r="D112" i="14"/>
  <c r="P111" i="14"/>
  <c r="O111" i="14"/>
  <c r="N111" i="14"/>
  <c r="M111" i="14"/>
  <c r="L111" i="14"/>
  <c r="K111" i="14"/>
  <c r="J111" i="14"/>
  <c r="I111" i="14"/>
  <c r="H111" i="14"/>
  <c r="G111" i="14"/>
  <c r="F111" i="14"/>
  <c r="E111" i="14"/>
  <c r="D111" i="14"/>
  <c r="P110" i="14"/>
  <c r="O110" i="14"/>
  <c r="N110" i="14"/>
  <c r="M110" i="14"/>
  <c r="L110" i="14"/>
  <c r="K110" i="14"/>
  <c r="J110" i="14"/>
  <c r="I110" i="14"/>
  <c r="H110" i="14"/>
  <c r="G110" i="14"/>
  <c r="F110" i="14"/>
  <c r="E110" i="14"/>
  <c r="D110" i="14"/>
  <c r="P109" i="14"/>
  <c r="O109" i="14"/>
  <c r="N109" i="14"/>
  <c r="M109" i="14"/>
  <c r="L109" i="14"/>
  <c r="K109" i="14"/>
  <c r="J109" i="14"/>
  <c r="I109" i="14"/>
  <c r="H109" i="14"/>
  <c r="G109" i="14"/>
  <c r="F109" i="14"/>
  <c r="E109" i="14"/>
  <c r="D109" i="14"/>
  <c r="P108" i="14"/>
  <c r="O108" i="14"/>
  <c r="N108" i="14"/>
  <c r="M108" i="14"/>
  <c r="L108" i="14"/>
  <c r="K108" i="14"/>
  <c r="J108" i="14"/>
  <c r="I108" i="14"/>
  <c r="H108" i="14"/>
  <c r="G108" i="14"/>
  <c r="F108" i="14"/>
  <c r="E108" i="14"/>
  <c r="D108" i="14"/>
  <c r="P107" i="14"/>
  <c r="O107" i="14"/>
  <c r="N107" i="14"/>
  <c r="M107" i="14"/>
  <c r="L107" i="14"/>
  <c r="K107" i="14"/>
  <c r="J107" i="14"/>
  <c r="I107" i="14"/>
  <c r="H107" i="14"/>
  <c r="G107" i="14"/>
  <c r="F107" i="14"/>
  <c r="E107" i="14"/>
  <c r="D107" i="14"/>
  <c r="P106" i="14"/>
  <c r="O106" i="14"/>
  <c r="N106" i="14"/>
  <c r="M106" i="14"/>
  <c r="L106" i="14"/>
  <c r="K106" i="14"/>
  <c r="J106" i="14"/>
  <c r="I106" i="14"/>
  <c r="H106" i="14"/>
  <c r="G106" i="14"/>
  <c r="F106" i="14"/>
  <c r="E106" i="14"/>
  <c r="D106" i="14"/>
  <c r="P105" i="14"/>
  <c r="O105" i="14"/>
  <c r="N105" i="14"/>
  <c r="M105" i="14"/>
  <c r="L105" i="14"/>
  <c r="K105" i="14"/>
  <c r="J105" i="14"/>
  <c r="I105" i="14"/>
  <c r="H105" i="14"/>
  <c r="G105" i="14"/>
  <c r="F105" i="14"/>
  <c r="E105" i="14"/>
  <c r="D105" i="14"/>
  <c r="P104" i="14"/>
  <c r="O104" i="14"/>
  <c r="N104" i="14"/>
  <c r="M104" i="14"/>
  <c r="L104" i="14"/>
  <c r="K104" i="14"/>
  <c r="J104" i="14"/>
  <c r="I104" i="14"/>
  <c r="H104" i="14"/>
  <c r="G104" i="14"/>
  <c r="F104" i="14"/>
  <c r="E104" i="14"/>
  <c r="D104" i="14"/>
  <c r="C101" i="14"/>
  <c r="C100" i="14"/>
  <c r="C99" i="14"/>
  <c r="F98" i="14"/>
  <c r="F130" i="14" s="1"/>
  <c r="E98" i="14"/>
  <c r="E130" i="14" s="1"/>
  <c r="C98" i="14"/>
  <c r="D97" i="14"/>
  <c r="D129" i="14" s="1"/>
  <c r="C97" i="14"/>
  <c r="C96" i="14"/>
  <c r="C95" i="14"/>
  <c r="C94" i="14"/>
  <c r="D93" i="14"/>
  <c r="D125" i="14" s="1"/>
  <c r="C93" i="14"/>
  <c r="C92" i="14"/>
  <c r="C91" i="14"/>
  <c r="C90" i="14"/>
  <c r="D89" i="14"/>
  <c r="C89" i="14"/>
  <c r="C88" i="14"/>
  <c r="F85" i="14"/>
  <c r="E85" i="14"/>
  <c r="D85" i="14"/>
  <c r="F84" i="14"/>
  <c r="E84" i="14"/>
  <c r="D84" i="14"/>
  <c r="D152" i="14" s="1"/>
  <c r="D184" i="14" s="1"/>
  <c r="F83" i="14"/>
  <c r="E83" i="14"/>
  <c r="E151" i="14" s="1"/>
  <c r="E183" i="14" s="1"/>
  <c r="D83" i="14"/>
  <c r="F82" i="14"/>
  <c r="E82" i="14"/>
  <c r="D82" i="14"/>
  <c r="F81" i="14"/>
  <c r="E81" i="14"/>
  <c r="E149" i="14" s="1"/>
  <c r="E181" i="14" s="1"/>
  <c r="D81" i="14"/>
  <c r="F80" i="14"/>
  <c r="E80" i="14"/>
  <c r="D80" i="14"/>
  <c r="D148" i="14" s="1"/>
  <c r="D180" i="14" s="1"/>
  <c r="F79" i="14"/>
  <c r="E79" i="14"/>
  <c r="D79" i="14"/>
  <c r="G78" i="14"/>
  <c r="G146" i="14" s="1"/>
  <c r="G178" i="14" s="1"/>
  <c r="F78" i="14"/>
  <c r="F146" i="14" s="1"/>
  <c r="F178" i="14" s="1"/>
  <c r="E78" i="14"/>
  <c r="E146" i="14" s="1"/>
  <c r="E178" i="14" s="1"/>
  <c r="D78" i="14"/>
  <c r="D146" i="14" s="1"/>
  <c r="D178" i="14" s="1"/>
  <c r="F77" i="14"/>
  <c r="E77" i="14"/>
  <c r="D77" i="14"/>
  <c r="D145" i="14" s="1"/>
  <c r="D177" i="14" s="1"/>
  <c r="F76" i="14"/>
  <c r="F144" i="14" s="1"/>
  <c r="F176" i="14" s="1"/>
  <c r="E76" i="14"/>
  <c r="D76" i="14"/>
  <c r="F75" i="14"/>
  <c r="E75" i="14"/>
  <c r="E143" i="14" s="1"/>
  <c r="E175" i="14" s="1"/>
  <c r="D75" i="14"/>
  <c r="F74" i="14"/>
  <c r="E74" i="14"/>
  <c r="D74" i="14"/>
  <c r="F73" i="14"/>
  <c r="E73" i="14"/>
  <c r="E141" i="14" s="1"/>
  <c r="E173" i="14" s="1"/>
  <c r="D73" i="14"/>
  <c r="F72" i="14"/>
  <c r="E72" i="14"/>
  <c r="D72" i="14"/>
  <c r="D140" i="14" s="1"/>
  <c r="D172" i="14" s="1"/>
  <c r="P69" i="14"/>
  <c r="O69" i="14"/>
  <c r="N69" i="14"/>
  <c r="M69" i="14"/>
  <c r="L69" i="14"/>
  <c r="K69" i="14"/>
  <c r="J69" i="14"/>
  <c r="I69" i="14"/>
  <c r="H69" i="14"/>
  <c r="G69" i="14"/>
  <c r="F69" i="14"/>
  <c r="F101" i="14" s="1"/>
  <c r="F133" i="14" s="1"/>
  <c r="E69" i="14"/>
  <c r="E101" i="14" s="1"/>
  <c r="E133" i="14" s="1"/>
  <c r="D69" i="14"/>
  <c r="D101" i="14" s="1"/>
  <c r="D133" i="14" s="1"/>
  <c r="P68" i="14"/>
  <c r="O68" i="14"/>
  <c r="N68" i="14"/>
  <c r="M68" i="14"/>
  <c r="L68" i="14"/>
  <c r="K68" i="14"/>
  <c r="J68" i="14"/>
  <c r="I68" i="14"/>
  <c r="H68" i="14"/>
  <c r="G68" i="14"/>
  <c r="F68" i="14"/>
  <c r="F100" i="14" s="1"/>
  <c r="E68" i="14"/>
  <c r="E100" i="14" s="1"/>
  <c r="D68" i="14"/>
  <c r="D100" i="14" s="1"/>
  <c r="D132" i="14" s="1"/>
  <c r="P67" i="14"/>
  <c r="O67" i="14"/>
  <c r="N67" i="14"/>
  <c r="M67" i="14"/>
  <c r="L67" i="14"/>
  <c r="K67" i="14"/>
  <c r="J67" i="14"/>
  <c r="I67" i="14"/>
  <c r="H67" i="14"/>
  <c r="G67" i="14"/>
  <c r="F67" i="14"/>
  <c r="E67" i="14"/>
  <c r="E99" i="14" s="1"/>
  <c r="E131" i="14" s="1"/>
  <c r="D67" i="14"/>
  <c r="D99" i="14" s="1"/>
  <c r="D131" i="14" s="1"/>
  <c r="P66" i="14"/>
  <c r="O66" i="14"/>
  <c r="N66" i="14"/>
  <c r="M66" i="14"/>
  <c r="L66" i="14"/>
  <c r="K66" i="14"/>
  <c r="J66" i="14"/>
  <c r="I66" i="14"/>
  <c r="H66" i="14"/>
  <c r="G66" i="14"/>
  <c r="F66" i="14"/>
  <c r="E66" i="14"/>
  <c r="D66" i="14"/>
  <c r="D98" i="14" s="1"/>
  <c r="D130" i="14" s="1"/>
  <c r="P65" i="14"/>
  <c r="O65" i="14"/>
  <c r="N65" i="14"/>
  <c r="M65" i="14"/>
  <c r="L65" i="14"/>
  <c r="K65" i="14"/>
  <c r="J65" i="14"/>
  <c r="I65" i="14"/>
  <c r="H65" i="14"/>
  <c r="G65" i="14"/>
  <c r="F65" i="14"/>
  <c r="F97" i="14" s="1"/>
  <c r="F129" i="14" s="1"/>
  <c r="E65" i="14"/>
  <c r="D65" i="14"/>
  <c r="P64" i="14"/>
  <c r="O64" i="14"/>
  <c r="N64" i="14"/>
  <c r="M64" i="14"/>
  <c r="L64" i="14"/>
  <c r="K64" i="14"/>
  <c r="J64" i="14"/>
  <c r="I64" i="14"/>
  <c r="H64" i="14"/>
  <c r="G64" i="14"/>
  <c r="F64" i="14"/>
  <c r="F96" i="14" s="1"/>
  <c r="F128" i="14" s="1"/>
  <c r="E64" i="14"/>
  <c r="D64" i="14"/>
  <c r="D96" i="14" s="1"/>
  <c r="P63" i="14"/>
  <c r="O63" i="14"/>
  <c r="N63" i="14"/>
  <c r="M63" i="14"/>
  <c r="L63" i="14"/>
  <c r="K63" i="14"/>
  <c r="J63" i="14"/>
  <c r="I63" i="14"/>
  <c r="H63" i="14"/>
  <c r="G63" i="14"/>
  <c r="F63" i="14"/>
  <c r="F95" i="14" s="1"/>
  <c r="E63" i="14"/>
  <c r="E95" i="14" s="1"/>
  <c r="E127" i="14" s="1"/>
  <c r="D63" i="14"/>
  <c r="D95" i="14" s="1"/>
  <c r="D127" i="14" s="1"/>
  <c r="P62" i="14"/>
  <c r="O62" i="14"/>
  <c r="N62" i="14"/>
  <c r="M62" i="14"/>
  <c r="L62" i="14"/>
  <c r="K62" i="14"/>
  <c r="J62" i="14"/>
  <c r="I62" i="14"/>
  <c r="H62" i="14"/>
  <c r="G62" i="14"/>
  <c r="F62" i="14"/>
  <c r="F94" i="14" s="1"/>
  <c r="F126" i="14" s="1"/>
  <c r="E62" i="14"/>
  <c r="E94" i="14" s="1"/>
  <c r="E126" i="14" s="1"/>
  <c r="D62" i="14"/>
  <c r="D94" i="14" s="1"/>
  <c r="P61" i="14"/>
  <c r="O61" i="14"/>
  <c r="N61" i="14"/>
  <c r="M61" i="14"/>
  <c r="L61" i="14"/>
  <c r="K61" i="14"/>
  <c r="J61" i="14"/>
  <c r="I61" i="14"/>
  <c r="H61" i="14"/>
  <c r="G61" i="14"/>
  <c r="F61" i="14"/>
  <c r="F93" i="14" s="1"/>
  <c r="F125" i="14" s="1"/>
  <c r="E61" i="14"/>
  <c r="E93" i="14" s="1"/>
  <c r="E125" i="14" s="1"/>
  <c r="D61" i="14"/>
  <c r="P60" i="14"/>
  <c r="O60" i="14"/>
  <c r="N60" i="14"/>
  <c r="M60" i="14"/>
  <c r="L60" i="14"/>
  <c r="K60" i="14"/>
  <c r="J60" i="14"/>
  <c r="I60" i="14"/>
  <c r="H60" i="14"/>
  <c r="G60" i="14"/>
  <c r="F60" i="14"/>
  <c r="F92" i="14" s="1"/>
  <c r="E60" i="14"/>
  <c r="E92" i="14" s="1"/>
  <c r="D60" i="14"/>
  <c r="D92" i="14" s="1"/>
  <c r="D124" i="14" s="1"/>
  <c r="P59" i="14"/>
  <c r="O59" i="14"/>
  <c r="N59" i="14"/>
  <c r="M59" i="14"/>
  <c r="L59" i="14"/>
  <c r="K59" i="14"/>
  <c r="J59" i="14"/>
  <c r="I59" i="14"/>
  <c r="H59" i="14"/>
  <c r="G59" i="14"/>
  <c r="F59" i="14"/>
  <c r="F91" i="14" s="1"/>
  <c r="F123" i="14" s="1"/>
  <c r="E59" i="14"/>
  <c r="E91" i="14" s="1"/>
  <c r="D59" i="14"/>
  <c r="D91" i="14" s="1"/>
  <c r="P58" i="14"/>
  <c r="O58" i="14"/>
  <c r="N58" i="14"/>
  <c r="M58" i="14"/>
  <c r="L58" i="14"/>
  <c r="K58" i="14"/>
  <c r="J58" i="14"/>
  <c r="I58" i="14"/>
  <c r="H58" i="14"/>
  <c r="G58" i="14"/>
  <c r="F58" i="14"/>
  <c r="F90" i="14" s="1"/>
  <c r="F122" i="14" s="1"/>
  <c r="E58" i="14"/>
  <c r="D58" i="14"/>
  <c r="D90" i="14" s="1"/>
  <c r="D122" i="14" s="1"/>
  <c r="P57" i="14"/>
  <c r="O57" i="14"/>
  <c r="N57" i="14"/>
  <c r="M57" i="14"/>
  <c r="L57" i="14"/>
  <c r="K57" i="14"/>
  <c r="J57" i="14"/>
  <c r="I57" i="14"/>
  <c r="H57" i="14"/>
  <c r="G57" i="14"/>
  <c r="F57" i="14"/>
  <c r="F89" i="14" s="1"/>
  <c r="F121" i="14" s="1"/>
  <c r="E57" i="14"/>
  <c r="D57" i="14"/>
  <c r="P56" i="14"/>
  <c r="O56" i="14"/>
  <c r="N56" i="14"/>
  <c r="M56" i="14"/>
  <c r="L56" i="14"/>
  <c r="K56" i="14"/>
  <c r="J56" i="14"/>
  <c r="I56" i="14"/>
  <c r="H56" i="14"/>
  <c r="G56" i="14"/>
  <c r="F56" i="14"/>
  <c r="F88" i="14" s="1"/>
  <c r="E56" i="14"/>
  <c r="E88" i="14" s="1"/>
  <c r="D56" i="14"/>
  <c r="D88" i="14" s="1"/>
  <c r="I38" i="14"/>
  <c r="J38" i="14" s="1"/>
  <c r="K38" i="14" s="1"/>
  <c r="L38" i="14" s="1"/>
  <c r="M38" i="14" s="1"/>
  <c r="N38" i="14" s="1"/>
  <c r="O38" i="14" s="1"/>
  <c r="P38" i="14" s="1"/>
  <c r="F38" i="14"/>
  <c r="G38" i="14" s="1"/>
  <c r="H38" i="14" s="1"/>
  <c r="E38" i="14"/>
  <c r="J37" i="14"/>
  <c r="K37" i="14" s="1"/>
  <c r="L37" i="14" s="1"/>
  <c r="M37" i="14" s="1"/>
  <c r="N37" i="14" s="1"/>
  <c r="O37" i="14" s="1"/>
  <c r="P37" i="14" s="1"/>
  <c r="I37" i="14"/>
  <c r="H37" i="14"/>
  <c r="D35" i="14"/>
  <c r="D31" i="14"/>
  <c r="F26" i="14"/>
  <c r="E26" i="14"/>
  <c r="D26" i="14"/>
  <c r="H105" i="13"/>
  <c r="I105" i="13" s="1"/>
  <c r="J105" i="13" s="1"/>
  <c r="K105" i="13" s="1"/>
  <c r="L105" i="13" s="1"/>
  <c r="M105" i="13" s="1"/>
  <c r="N105" i="13" s="1"/>
  <c r="O105" i="13" s="1"/>
  <c r="P105" i="13" s="1"/>
  <c r="E98" i="13"/>
  <c r="D98" i="13"/>
  <c r="F93" i="13"/>
  <c r="F92" i="13"/>
  <c r="E90" i="13"/>
  <c r="J87" i="13"/>
  <c r="F87" i="13"/>
  <c r="F86" i="13"/>
  <c r="E86" i="13"/>
  <c r="D86" i="13"/>
  <c r="F85" i="13"/>
  <c r="E85" i="13"/>
  <c r="D85" i="13"/>
  <c r="F84" i="13"/>
  <c r="E84" i="13"/>
  <c r="D84" i="13"/>
  <c r="F83" i="13"/>
  <c r="E83" i="13"/>
  <c r="D83" i="13"/>
  <c r="F80" i="13"/>
  <c r="E80" i="13"/>
  <c r="D80" i="13"/>
  <c r="G79" i="13"/>
  <c r="F79" i="13"/>
  <c r="F100" i="13" s="1"/>
  <c r="E79" i="13"/>
  <c r="D79" i="13"/>
  <c r="D100" i="13" s="1"/>
  <c r="F78" i="13"/>
  <c r="E78" i="13"/>
  <c r="D78" i="13"/>
  <c r="F77" i="13"/>
  <c r="E77" i="13"/>
  <c r="D77" i="13"/>
  <c r="F76" i="13"/>
  <c r="E76" i="13"/>
  <c r="E97" i="13" s="1"/>
  <c r="D76" i="13"/>
  <c r="D97" i="13" s="1"/>
  <c r="F73" i="13"/>
  <c r="E73" i="13"/>
  <c r="D73" i="13"/>
  <c r="F72" i="13"/>
  <c r="G72" i="13" s="1"/>
  <c r="G93" i="13" s="1"/>
  <c r="E72" i="13"/>
  <c r="E93" i="13" s="1"/>
  <c r="D72" i="13"/>
  <c r="D93" i="13" s="1"/>
  <c r="H71" i="13"/>
  <c r="G71" i="13"/>
  <c r="F71" i="13"/>
  <c r="E71" i="13"/>
  <c r="E92" i="13" s="1"/>
  <c r="E99" i="13" s="1"/>
  <c r="D71" i="13"/>
  <c r="D92" i="13" s="1"/>
  <c r="F70" i="13"/>
  <c r="F91" i="13" s="1"/>
  <c r="E70" i="13"/>
  <c r="E91" i="13" s="1"/>
  <c r="D70" i="13"/>
  <c r="D91" i="13" s="1"/>
  <c r="J69" i="13"/>
  <c r="G69" i="13"/>
  <c r="H69" i="13" s="1"/>
  <c r="I69" i="13" s="1"/>
  <c r="F69" i="13"/>
  <c r="F90" i="13" s="1"/>
  <c r="E69" i="13"/>
  <c r="D69" i="13"/>
  <c r="D90" i="13" s="1"/>
  <c r="D66" i="13"/>
  <c r="E60" i="13"/>
  <c r="F60" i="13" s="1"/>
  <c r="G60" i="13" s="1"/>
  <c r="H60" i="13" s="1"/>
  <c r="I60" i="13" s="1"/>
  <c r="J60" i="13" s="1"/>
  <c r="K60" i="13" s="1"/>
  <c r="L60" i="13" s="1"/>
  <c r="M60" i="13" s="1"/>
  <c r="N60" i="13" s="1"/>
  <c r="O60" i="13" s="1"/>
  <c r="P60" i="13" s="1"/>
  <c r="D60" i="13"/>
  <c r="D106" i="13" s="1"/>
  <c r="E106" i="13" s="1"/>
  <c r="F106" i="13" s="1"/>
  <c r="G106" i="13" s="1"/>
  <c r="H106" i="13" s="1"/>
  <c r="I106" i="13" s="1"/>
  <c r="J106" i="13" s="1"/>
  <c r="K106" i="13" s="1"/>
  <c r="L106" i="13" s="1"/>
  <c r="M106" i="13" s="1"/>
  <c r="N106" i="13" s="1"/>
  <c r="O106" i="13" s="1"/>
  <c r="P106" i="13" s="1"/>
  <c r="I59" i="13"/>
  <c r="J59" i="13" s="1"/>
  <c r="K59" i="13" s="1"/>
  <c r="L59" i="13" s="1"/>
  <c r="M59" i="13" s="1"/>
  <c r="N59" i="13" s="1"/>
  <c r="O59" i="13" s="1"/>
  <c r="P59" i="13" s="1"/>
  <c r="H59" i="13"/>
  <c r="E54" i="13"/>
  <c r="E53" i="13"/>
  <c r="E52" i="13"/>
  <c r="E51" i="13"/>
  <c r="F48" i="13"/>
  <c r="E48" i="13"/>
  <c r="D48" i="13"/>
  <c r="F41" i="13"/>
  <c r="E41" i="13"/>
  <c r="D41" i="13"/>
  <c r="F32" i="13"/>
  <c r="F33" i="13" s="1"/>
  <c r="E32" i="13"/>
  <c r="E33" i="13" s="1"/>
  <c r="D32" i="13"/>
  <c r="D33" i="13" s="1"/>
  <c r="F27" i="13"/>
  <c r="E27" i="13"/>
  <c r="D27" i="13"/>
  <c r="D18" i="13"/>
  <c r="G86" i="13" s="1"/>
  <c r="D14" i="13"/>
  <c r="D11" i="13"/>
  <c r="P123" i="12"/>
  <c r="N123" i="12"/>
  <c r="O123" i="12" s="1"/>
  <c r="D123" i="12"/>
  <c r="E123" i="12" s="1"/>
  <c r="F123" i="12" s="1"/>
  <c r="G123" i="12" s="1"/>
  <c r="H123" i="12" s="1"/>
  <c r="I123" i="12" s="1"/>
  <c r="J123" i="12" s="1"/>
  <c r="K123" i="12" s="1"/>
  <c r="L123" i="12" s="1"/>
  <c r="M123" i="12" s="1"/>
  <c r="K122" i="12"/>
  <c r="L122" i="12" s="1"/>
  <c r="M122" i="12" s="1"/>
  <c r="N122" i="12" s="1"/>
  <c r="O122" i="12" s="1"/>
  <c r="P122" i="12" s="1"/>
  <c r="H122" i="12"/>
  <c r="I122" i="12" s="1"/>
  <c r="J122" i="12" s="1"/>
  <c r="E116" i="12"/>
  <c r="P109" i="12"/>
  <c r="O109" i="12"/>
  <c r="N109" i="12"/>
  <c r="M109" i="12"/>
  <c r="L109" i="12"/>
  <c r="K109" i="12"/>
  <c r="J109" i="12"/>
  <c r="I109" i="12"/>
  <c r="H109" i="12"/>
  <c r="G109" i="12"/>
  <c r="F109" i="12"/>
  <c r="E109" i="12"/>
  <c r="D109" i="12"/>
  <c r="P108" i="12"/>
  <c r="O108" i="12"/>
  <c r="N108" i="12"/>
  <c r="M108" i="12"/>
  <c r="L108" i="12"/>
  <c r="K108" i="12"/>
  <c r="J108" i="12"/>
  <c r="I108" i="12"/>
  <c r="H108" i="12"/>
  <c r="G108" i="12"/>
  <c r="F108" i="12"/>
  <c r="E108" i="12"/>
  <c r="D108" i="12"/>
  <c r="P107" i="12"/>
  <c r="O107" i="12"/>
  <c r="N107" i="12"/>
  <c r="M107" i="12"/>
  <c r="L107" i="12"/>
  <c r="K107" i="12"/>
  <c r="J107" i="12"/>
  <c r="I107" i="12"/>
  <c r="H107" i="12"/>
  <c r="G107" i="12"/>
  <c r="F107" i="12"/>
  <c r="E107" i="12"/>
  <c r="D107" i="12"/>
  <c r="P106" i="12"/>
  <c r="O106" i="12"/>
  <c r="N106" i="12"/>
  <c r="M106" i="12"/>
  <c r="L106" i="12"/>
  <c r="K106" i="12"/>
  <c r="J106" i="12"/>
  <c r="I106" i="12"/>
  <c r="H106" i="12"/>
  <c r="G106" i="12"/>
  <c r="F106" i="12"/>
  <c r="E106" i="12"/>
  <c r="D106" i="12"/>
  <c r="P105" i="12"/>
  <c r="O105" i="12"/>
  <c r="N105" i="12"/>
  <c r="M105" i="12"/>
  <c r="L105" i="12"/>
  <c r="K105" i="12"/>
  <c r="J105" i="12"/>
  <c r="I105" i="12"/>
  <c r="H105" i="12"/>
  <c r="G105" i="12"/>
  <c r="F105" i="12"/>
  <c r="E105" i="12"/>
  <c r="D105" i="12"/>
  <c r="P104" i="12"/>
  <c r="O104" i="12"/>
  <c r="N104" i="12"/>
  <c r="M104" i="12"/>
  <c r="L104" i="12"/>
  <c r="K104" i="12"/>
  <c r="J104" i="12"/>
  <c r="I104" i="12"/>
  <c r="H104" i="12"/>
  <c r="G104" i="12"/>
  <c r="F104" i="12"/>
  <c r="E104" i="12"/>
  <c r="D104" i="12"/>
  <c r="P103" i="12"/>
  <c r="O103" i="12"/>
  <c r="N103" i="12"/>
  <c r="M103" i="12"/>
  <c r="L103" i="12"/>
  <c r="K103" i="12"/>
  <c r="J103" i="12"/>
  <c r="I103" i="12"/>
  <c r="H103" i="12"/>
  <c r="G103" i="12"/>
  <c r="F103" i="12"/>
  <c r="E103" i="12"/>
  <c r="D103" i="12"/>
  <c r="F100" i="12"/>
  <c r="E100" i="12"/>
  <c r="D99" i="12"/>
  <c r="D117" i="12" s="1"/>
  <c r="F97" i="12"/>
  <c r="F115" i="12" s="1"/>
  <c r="E97" i="12"/>
  <c r="D97" i="12"/>
  <c r="F95" i="12"/>
  <c r="F113" i="12" s="1"/>
  <c r="E94" i="12"/>
  <c r="E112" i="12" s="1"/>
  <c r="D94" i="12"/>
  <c r="D92" i="12"/>
  <c r="E92" i="12" s="1"/>
  <c r="F92" i="12" s="1"/>
  <c r="G92" i="12" s="1"/>
  <c r="H92" i="12" s="1"/>
  <c r="I92" i="12" s="1"/>
  <c r="J92" i="12" s="1"/>
  <c r="K92" i="12" s="1"/>
  <c r="L92" i="12" s="1"/>
  <c r="M92" i="12" s="1"/>
  <c r="N92" i="12" s="1"/>
  <c r="O92" i="12" s="1"/>
  <c r="P92" i="12" s="1"/>
  <c r="N91" i="12"/>
  <c r="O91" i="12" s="1"/>
  <c r="P91" i="12" s="1"/>
  <c r="M91" i="12"/>
  <c r="H91" i="12"/>
  <c r="I91" i="12" s="1"/>
  <c r="J91" i="12" s="1"/>
  <c r="K91" i="12" s="1"/>
  <c r="L91" i="12" s="1"/>
  <c r="E87" i="12"/>
  <c r="D84" i="12"/>
  <c r="F82" i="12"/>
  <c r="D81" i="12"/>
  <c r="P79" i="12"/>
  <c r="O79" i="12"/>
  <c r="N79" i="12"/>
  <c r="M79" i="12"/>
  <c r="L79" i="12"/>
  <c r="K79" i="12"/>
  <c r="J79" i="12"/>
  <c r="I79" i="12"/>
  <c r="H79" i="12"/>
  <c r="G79" i="12"/>
  <c r="F79" i="12"/>
  <c r="E79" i="12"/>
  <c r="D79" i="12"/>
  <c r="P78" i="12"/>
  <c r="O78" i="12"/>
  <c r="N78" i="12"/>
  <c r="M78" i="12"/>
  <c r="L78" i="12"/>
  <c r="K78" i="12"/>
  <c r="J78" i="12"/>
  <c r="I78" i="12"/>
  <c r="H78" i="12"/>
  <c r="G78" i="12"/>
  <c r="F78" i="12"/>
  <c r="E78" i="12"/>
  <c r="D78" i="12"/>
  <c r="P77" i="12"/>
  <c r="O77" i="12"/>
  <c r="N77" i="12"/>
  <c r="M77" i="12"/>
  <c r="L77" i="12"/>
  <c r="K77" i="12"/>
  <c r="J77" i="12"/>
  <c r="I77" i="12"/>
  <c r="H77" i="12"/>
  <c r="G77" i="12"/>
  <c r="F77" i="12"/>
  <c r="E77" i="12"/>
  <c r="D77" i="12"/>
  <c r="P76" i="12"/>
  <c r="O76" i="12"/>
  <c r="N76" i="12"/>
  <c r="M76" i="12"/>
  <c r="L76" i="12"/>
  <c r="K76" i="12"/>
  <c r="J76" i="12"/>
  <c r="I76" i="12"/>
  <c r="H76" i="12"/>
  <c r="G76" i="12"/>
  <c r="F76" i="12"/>
  <c r="E76" i="12"/>
  <c r="D76" i="12"/>
  <c r="P75" i="12"/>
  <c r="O75" i="12"/>
  <c r="N75" i="12"/>
  <c r="M75" i="12"/>
  <c r="L75" i="12"/>
  <c r="K75" i="12"/>
  <c r="J75" i="12"/>
  <c r="I75" i="12"/>
  <c r="H75" i="12"/>
  <c r="G75" i="12"/>
  <c r="F75" i="12"/>
  <c r="E75" i="12"/>
  <c r="D75" i="12"/>
  <c r="P74" i="12"/>
  <c r="O74" i="12"/>
  <c r="N74" i="12"/>
  <c r="M74" i="12"/>
  <c r="L74" i="12"/>
  <c r="K74" i="12"/>
  <c r="J74" i="12"/>
  <c r="I74" i="12"/>
  <c r="H74" i="12"/>
  <c r="G74" i="12"/>
  <c r="F74" i="12"/>
  <c r="E74" i="12"/>
  <c r="D74" i="12"/>
  <c r="P73" i="12"/>
  <c r="O73" i="12"/>
  <c r="N73" i="12"/>
  <c r="M73" i="12"/>
  <c r="L73" i="12"/>
  <c r="K73" i="12"/>
  <c r="J73" i="12"/>
  <c r="I73" i="12"/>
  <c r="H73" i="12"/>
  <c r="G73" i="12"/>
  <c r="F73" i="12"/>
  <c r="E73" i="12"/>
  <c r="D73" i="12"/>
  <c r="H70" i="12"/>
  <c r="H87" i="12" s="1"/>
  <c r="E66" i="12"/>
  <c r="D66" i="12"/>
  <c r="F64" i="12"/>
  <c r="D62" i="12"/>
  <c r="I61" i="12"/>
  <c r="H61" i="12"/>
  <c r="F61" i="12"/>
  <c r="G61" i="12" s="1"/>
  <c r="E61" i="12"/>
  <c r="D61" i="12"/>
  <c r="F60" i="12"/>
  <c r="E60" i="12"/>
  <c r="D60" i="12"/>
  <c r="F59" i="12"/>
  <c r="E59" i="12"/>
  <c r="E98" i="12" s="1"/>
  <c r="D59" i="12"/>
  <c r="O58" i="12"/>
  <c r="P58" i="12" s="1"/>
  <c r="H58" i="12"/>
  <c r="I58" i="12" s="1"/>
  <c r="J58" i="12" s="1"/>
  <c r="K58" i="12" s="1"/>
  <c r="L58" i="12" s="1"/>
  <c r="M58" i="12" s="1"/>
  <c r="N58" i="12" s="1"/>
  <c r="G58" i="12"/>
  <c r="F58" i="12"/>
  <c r="E58" i="12"/>
  <c r="D58" i="12"/>
  <c r="F57" i="12"/>
  <c r="G57" i="12" s="1"/>
  <c r="H57" i="12" s="1"/>
  <c r="I57" i="12" s="1"/>
  <c r="J57" i="12" s="1"/>
  <c r="K57" i="12" s="1"/>
  <c r="L57" i="12" s="1"/>
  <c r="M57" i="12" s="1"/>
  <c r="N57" i="12" s="1"/>
  <c r="O57" i="12" s="1"/>
  <c r="P57" i="12" s="1"/>
  <c r="E57" i="12"/>
  <c r="D57" i="12"/>
  <c r="F56" i="12"/>
  <c r="E56" i="12"/>
  <c r="D56" i="12"/>
  <c r="G55" i="12"/>
  <c r="F55" i="12"/>
  <c r="E55" i="12"/>
  <c r="E96" i="12" s="1"/>
  <c r="E114" i="12" s="1"/>
  <c r="D55" i="12"/>
  <c r="D96" i="12" s="1"/>
  <c r="D114" i="12" s="1"/>
  <c r="F54" i="12"/>
  <c r="E54" i="12"/>
  <c r="D54" i="12"/>
  <c r="F53" i="12"/>
  <c r="F94" i="12" s="1"/>
  <c r="E53" i="12"/>
  <c r="D53" i="12"/>
  <c r="P51" i="12"/>
  <c r="O51" i="12"/>
  <c r="N51" i="12"/>
  <c r="M51" i="12"/>
  <c r="L51" i="12"/>
  <c r="K51" i="12"/>
  <c r="J51" i="12"/>
  <c r="I51" i="12"/>
  <c r="H51" i="12"/>
  <c r="G51" i="12"/>
  <c r="G70" i="12" s="1"/>
  <c r="G87" i="12" s="1"/>
  <c r="F51" i="12"/>
  <c r="F70" i="12" s="1"/>
  <c r="F87" i="12" s="1"/>
  <c r="E51" i="12"/>
  <c r="E70" i="12" s="1"/>
  <c r="D51" i="12"/>
  <c r="D70" i="12" s="1"/>
  <c r="D87" i="12" s="1"/>
  <c r="P50" i="12"/>
  <c r="O50" i="12"/>
  <c r="N50" i="12"/>
  <c r="M50" i="12"/>
  <c r="L50" i="12"/>
  <c r="K50" i="12"/>
  <c r="J50" i="12"/>
  <c r="I50" i="12"/>
  <c r="H50" i="12"/>
  <c r="G50" i="12"/>
  <c r="F50" i="12"/>
  <c r="E50" i="12"/>
  <c r="D50" i="12"/>
  <c r="D69" i="12" s="1"/>
  <c r="D86" i="12" s="1"/>
  <c r="P49" i="12"/>
  <c r="O49" i="12"/>
  <c r="N49" i="12"/>
  <c r="M49" i="12"/>
  <c r="L49" i="12"/>
  <c r="K49" i="12"/>
  <c r="J49" i="12"/>
  <c r="I49" i="12"/>
  <c r="H49" i="12"/>
  <c r="G49" i="12"/>
  <c r="F49" i="12"/>
  <c r="F68" i="12" s="1"/>
  <c r="F85" i="12" s="1"/>
  <c r="E49" i="12"/>
  <c r="E68" i="12" s="1"/>
  <c r="E85" i="12" s="1"/>
  <c r="D49" i="12"/>
  <c r="P48" i="12"/>
  <c r="O48" i="12"/>
  <c r="N48" i="12"/>
  <c r="M48" i="12"/>
  <c r="L48" i="12"/>
  <c r="K48" i="12"/>
  <c r="J48" i="12"/>
  <c r="I48" i="12"/>
  <c r="H48" i="12"/>
  <c r="G48" i="12"/>
  <c r="F48" i="12"/>
  <c r="F67" i="12" s="1"/>
  <c r="F84" i="12" s="1"/>
  <c r="E48" i="12"/>
  <c r="E67" i="12" s="1"/>
  <c r="E84" i="12" s="1"/>
  <c r="D48" i="12"/>
  <c r="D67" i="12" s="1"/>
  <c r="P47" i="12"/>
  <c r="O47" i="12"/>
  <c r="N47" i="12"/>
  <c r="M47" i="12"/>
  <c r="L47" i="12"/>
  <c r="K47" i="12"/>
  <c r="J47" i="12"/>
  <c r="I47" i="12"/>
  <c r="H47" i="12"/>
  <c r="G47" i="12"/>
  <c r="G66" i="12" s="1"/>
  <c r="G83" i="12" s="1"/>
  <c r="F47" i="12"/>
  <c r="E47" i="12"/>
  <c r="D47" i="12"/>
  <c r="P46" i="12"/>
  <c r="O46" i="12"/>
  <c r="N46" i="12"/>
  <c r="M46" i="12"/>
  <c r="L46" i="12"/>
  <c r="K46" i="12"/>
  <c r="J46" i="12"/>
  <c r="I46" i="12"/>
  <c r="H46" i="12"/>
  <c r="G46" i="12"/>
  <c r="F46" i="12"/>
  <c r="F65" i="12" s="1"/>
  <c r="E46" i="12"/>
  <c r="E65" i="12" s="1"/>
  <c r="E82" i="12" s="1"/>
  <c r="D46" i="12"/>
  <c r="D65" i="12" s="1"/>
  <c r="D82" i="12" s="1"/>
  <c r="P45" i="12"/>
  <c r="O45" i="12"/>
  <c r="N45" i="12"/>
  <c r="M45" i="12"/>
  <c r="L45" i="12"/>
  <c r="K45" i="12"/>
  <c r="J45" i="12"/>
  <c r="I45" i="12"/>
  <c r="H45" i="12"/>
  <c r="G45" i="12"/>
  <c r="F45" i="12"/>
  <c r="E45" i="12"/>
  <c r="E64" i="12" s="1"/>
  <c r="D45" i="12"/>
  <c r="D64" i="12" s="1"/>
  <c r="H34" i="12"/>
  <c r="I34" i="12" s="1"/>
  <c r="J34" i="12" s="1"/>
  <c r="K34" i="12" s="1"/>
  <c r="L34" i="12" s="1"/>
  <c r="M34" i="12" s="1"/>
  <c r="N34" i="12" s="1"/>
  <c r="O34" i="12" s="1"/>
  <c r="P34" i="12" s="1"/>
  <c r="E34" i="12"/>
  <c r="F34" i="12" s="1"/>
  <c r="G34" i="12" s="1"/>
  <c r="D30" i="12"/>
  <c r="D26" i="12"/>
  <c r="F21" i="12"/>
  <c r="E21" i="12"/>
  <c r="D21" i="12"/>
  <c r="O115" i="11"/>
  <c r="P115" i="11" s="1"/>
  <c r="E115" i="11"/>
  <c r="F115" i="11" s="1"/>
  <c r="G115" i="11" s="1"/>
  <c r="H115" i="11" s="1"/>
  <c r="I115" i="11" s="1"/>
  <c r="J115" i="11" s="1"/>
  <c r="K115" i="11" s="1"/>
  <c r="L115" i="11" s="1"/>
  <c r="M115" i="11" s="1"/>
  <c r="N115" i="11" s="1"/>
  <c r="D115" i="11"/>
  <c r="D105" i="11"/>
  <c r="D98" i="11"/>
  <c r="E98" i="11" s="1"/>
  <c r="F98" i="11" s="1"/>
  <c r="G98" i="11" s="1"/>
  <c r="H98" i="11" s="1"/>
  <c r="I98" i="11" s="1"/>
  <c r="J98" i="11" s="1"/>
  <c r="K98" i="11" s="1"/>
  <c r="L98" i="11" s="1"/>
  <c r="M98" i="11" s="1"/>
  <c r="N98" i="11" s="1"/>
  <c r="O98" i="11" s="1"/>
  <c r="P98" i="11" s="1"/>
  <c r="N97" i="11"/>
  <c r="O97" i="11" s="1"/>
  <c r="P97" i="11" s="1"/>
  <c r="M97" i="11"/>
  <c r="G97" i="11"/>
  <c r="H97" i="11" s="1"/>
  <c r="I97" i="11" s="1"/>
  <c r="J97" i="11" s="1"/>
  <c r="K97" i="11" s="1"/>
  <c r="L97" i="11" s="1"/>
  <c r="F97" i="11"/>
  <c r="E97" i="11"/>
  <c r="D97" i="11"/>
  <c r="J96" i="11"/>
  <c r="K96" i="11" s="1"/>
  <c r="L96" i="11" s="1"/>
  <c r="M96" i="11" s="1"/>
  <c r="N96" i="11" s="1"/>
  <c r="O96" i="11" s="1"/>
  <c r="P96" i="11" s="1"/>
  <c r="I96" i="11"/>
  <c r="F96" i="11"/>
  <c r="G96" i="11" s="1"/>
  <c r="H96" i="11" s="1"/>
  <c r="D96" i="11"/>
  <c r="E96" i="11" s="1"/>
  <c r="I95" i="11"/>
  <c r="J95" i="11" s="1"/>
  <c r="K95" i="11" s="1"/>
  <c r="L95" i="11" s="1"/>
  <c r="M95" i="11" s="1"/>
  <c r="N95" i="11" s="1"/>
  <c r="O95" i="11" s="1"/>
  <c r="P95" i="11" s="1"/>
  <c r="H95" i="11"/>
  <c r="G95" i="11"/>
  <c r="F95" i="11"/>
  <c r="D95" i="11"/>
  <c r="E95" i="11" s="1"/>
  <c r="L94" i="11"/>
  <c r="M94" i="11" s="1"/>
  <c r="N94" i="11" s="1"/>
  <c r="O94" i="11" s="1"/>
  <c r="P94" i="11" s="1"/>
  <c r="E94" i="11"/>
  <c r="F94" i="11" s="1"/>
  <c r="G94" i="11" s="1"/>
  <c r="H94" i="11" s="1"/>
  <c r="I94" i="11" s="1"/>
  <c r="J94" i="11" s="1"/>
  <c r="K94" i="11" s="1"/>
  <c r="D94" i="11"/>
  <c r="H93" i="11"/>
  <c r="I93" i="11" s="1"/>
  <c r="J93" i="11" s="1"/>
  <c r="K93" i="11" s="1"/>
  <c r="L93" i="11" s="1"/>
  <c r="M93" i="11" s="1"/>
  <c r="N93" i="11" s="1"/>
  <c r="O93" i="11" s="1"/>
  <c r="P93" i="11" s="1"/>
  <c r="G93" i="11"/>
  <c r="F93" i="11"/>
  <c r="E93" i="11"/>
  <c r="D93" i="11"/>
  <c r="E92" i="11"/>
  <c r="F92" i="11" s="1"/>
  <c r="G92" i="11" s="1"/>
  <c r="H92" i="11" s="1"/>
  <c r="I92" i="11" s="1"/>
  <c r="J92" i="11" s="1"/>
  <c r="K92" i="11" s="1"/>
  <c r="L92" i="11" s="1"/>
  <c r="M92" i="11" s="1"/>
  <c r="N92" i="11" s="1"/>
  <c r="O92" i="11" s="1"/>
  <c r="P92" i="11" s="1"/>
  <c r="D92" i="11"/>
  <c r="D91" i="11"/>
  <c r="E91" i="11" s="1"/>
  <c r="F91" i="11" s="1"/>
  <c r="G91" i="11" s="1"/>
  <c r="H91" i="11" s="1"/>
  <c r="I91" i="11" s="1"/>
  <c r="J91" i="11" s="1"/>
  <c r="K91" i="11" s="1"/>
  <c r="L91" i="11" s="1"/>
  <c r="M91" i="11" s="1"/>
  <c r="N91" i="11" s="1"/>
  <c r="O91" i="11" s="1"/>
  <c r="P91" i="11" s="1"/>
  <c r="G90" i="11"/>
  <c r="H90" i="11" s="1"/>
  <c r="I90" i="11" s="1"/>
  <c r="J90" i="11" s="1"/>
  <c r="K90" i="11" s="1"/>
  <c r="L90" i="11" s="1"/>
  <c r="M90" i="11" s="1"/>
  <c r="N90" i="11" s="1"/>
  <c r="O90" i="11" s="1"/>
  <c r="P90" i="11" s="1"/>
  <c r="F90" i="11"/>
  <c r="E90" i="11"/>
  <c r="D90" i="11"/>
  <c r="D89" i="11"/>
  <c r="E89" i="11" s="1"/>
  <c r="F89" i="11" s="1"/>
  <c r="G89" i="11" s="1"/>
  <c r="H89" i="11" s="1"/>
  <c r="I89" i="11" s="1"/>
  <c r="J89" i="11" s="1"/>
  <c r="K89" i="11" s="1"/>
  <c r="L89" i="11" s="1"/>
  <c r="M89" i="11" s="1"/>
  <c r="N89" i="11" s="1"/>
  <c r="O89" i="11" s="1"/>
  <c r="P89" i="11" s="1"/>
  <c r="D88" i="11"/>
  <c r="E88" i="11" s="1"/>
  <c r="F88" i="11" s="1"/>
  <c r="G88" i="11" s="1"/>
  <c r="H88" i="11" s="1"/>
  <c r="I88" i="11" s="1"/>
  <c r="J88" i="11" s="1"/>
  <c r="K88" i="11" s="1"/>
  <c r="L88" i="11" s="1"/>
  <c r="M88" i="11" s="1"/>
  <c r="N88" i="11" s="1"/>
  <c r="O88" i="11" s="1"/>
  <c r="P88" i="11" s="1"/>
  <c r="E85" i="11"/>
  <c r="D85" i="11"/>
  <c r="D82" i="11"/>
  <c r="D80" i="11"/>
  <c r="D79" i="11"/>
  <c r="D104" i="11" s="1"/>
  <c r="E77" i="11"/>
  <c r="D77" i="11"/>
  <c r="E75" i="11"/>
  <c r="I72" i="11"/>
  <c r="J72" i="11" s="1"/>
  <c r="K72" i="11" s="1"/>
  <c r="L72" i="11" s="1"/>
  <c r="M72" i="11" s="1"/>
  <c r="N72" i="11" s="1"/>
  <c r="O72" i="11" s="1"/>
  <c r="P72" i="11" s="1"/>
  <c r="G72" i="11"/>
  <c r="H72" i="11" s="1"/>
  <c r="F72" i="11"/>
  <c r="E72" i="11"/>
  <c r="D72" i="11"/>
  <c r="D71" i="11"/>
  <c r="D70" i="11"/>
  <c r="D83" i="11" s="1"/>
  <c r="H69" i="11"/>
  <c r="I69" i="11" s="1"/>
  <c r="J69" i="11" s="1"/>
  <c r="K69" i="11" s="1"/>
  <c r="L69" i="11" s="1"/>
  <c r="M69" i="11" s="1"/>
  <c r="N69" i="11" s="1"/>
  <c r="O69" i="11" s="1"/>
  <c r="P69" i="11" s="1"/>
  <c r="F69" i="11"/>
  <c r="G69" i="11" s="1"/>
  <c r="E69" i="11"/>
  <c r="D69" i="11"/>
  <c r="E68" i="11"/>
  <c r="D68" i="11"/>
  <c r="D42" i="18" s="1"/>
  <c r="H67" i="11"/>
  <c r="I67" i="11" s="1"/>
  <c r="J67" i="11" s="1"/>
  <c r="K67" i="11" s="1"/>
  <c r="L67" i="11" s="1"/>
  <c r="M67" i="11" s="1"/>
  <c r="N67" i="11" s="1"/>
  <c r="O67" i="11" s="1"/>
  <c r="P67" i="11" s="1"/>
  <c r="G67" i="11"/>
  <c r="F67" i="11"/>
  <c r="E67" i="11"/>
  <c r="D67" i="11"/>
  <c r="E66" i="11"/>
  <c r="F66" i="11" s="1"/>
  <c r="G66" i="11" s="1"/>
  <c r="H66" i="11" s="1"/>
  <c r="I66" i="11" s="1"/>
  <c r="J66" i="11" s="1"/>
  <c r="K66" i="11" s="1"/>
  <c r="L66" i="11" s="1"/>
  <c r="M66" i="11" s="1"/>
  <c r="N66" i="11" s="1"/>
  <c r="O66" i="11" s="1"/>
  <c r="P66" i="11" s="1"/>
  <c r="D66" i="11"/>
  <c r="D65" i="11"/>
  <c r="I64" i="11"/>
  <c r="J64" i="11" s="1"/>
  <c r="K64" i="11" s="1"/>
  <c r="L64" i="11" s="1"/>
  <c r="M64" i="11" s="1"/>
  <c r="N64" i="11" s="1"/>
  <c r="O64" i="11" s="1"/>
  <c r="P64" i="11" s="1"/>
  <c r="G64" i="11"/>
  <c r="H64" i="11" s="1"/>
  <c r="F64" i="11"/>
  <c r="E64" i="11"/>
  <c r="D64" i="11"/>
  <c r="D63" i="11"/>
  <c r="D62" i="11"/>
  <c r="D75" i="11" s="1"/>
  <c r="N60" i="11"/>
  <c r="O60" i="11" s="1"/>
  <c r="P60" i="11" s="1"/>
  <c r="F60" i="11"/>
  <c r="G60" i="11" s="1"/>
  <c r="H60" i="11" s="1"/>
  <c r="I60" i="11" s="1"/>
  <c r="J60" i="11" s="1"/>
  <c r="K60" i="11" s="1"/>
  <c r="L60" i="11" s="1"/>
  <c r="M60" i="11" s="1"/>
  <c r="E60" i="11"/>
  <c r="K59" i="11"/>
  <c r="L59" i="11" s="1"/>
  <c r="M59" i="11" s="1"/>
  <c r="N59" i="11" s="1"/>
  <c r="O59" i="11" s="1"/>
  <c r="P59" i="11" s="1"/>
  <c r="J59" i="11"/>
  <c r="I59" i="11"/>
  <c r="H59" i="11"/>
  <c r="D56" i="11"/>
  <c r="D51" i="11"/>
  <c r="D23" i="11"/>
  <c r="D148" i="10"/>
  <c r="D140" i="10"/>
  <c r="D136" i="10"/>
  <c r="E136" i="10" s="1"/>
  <c r="F136" i="10" s="1"/>
  <c r="G136" i="10" s="1"/>
  <c r="H136" i="10" s="1"/>
  <c r="I136" i="10" s="1"/>
  <c r="J136" i="10" s="1"/>
  <c r="K136" i="10" s="1"/>
  <c r="L136" i="10" s="1"/>
  <c r="M136" i="10" s="1"/>
  <c r="N136" i="10" s="1"/>
  <c r="O136" i="10" s="1"/>
  <c r="P136" i="10" s="1"/>
  <c r="D128" i="10"/>
  <c r="D116" i="10"/>
  <c r="E116" i="10" s="1"/>
  <c r="F116" i="10" s="1"/>
  <c r="G116" i="10" s="1"/>
  <c r="H116" i="10" s="1"/>
  <c r="I116" i="10" s="1"/>
  <c r="J116" i="10" s="1"/>
  <c r="K116" i="10" s="1"/>
  <c r="L116" i="10" s="1"/>
  <c r="M116" i="10" s="1"/>
  <c r="N116" i="10" s="1"/>
  <c r="O116" i="10" s="1"/>
  <c r="P116" i="10" s="1"/>
  <c r="D115" i="10"/>
  <c r="E115" i="10" s="1"/>
  <c r="F115" i="10" s="1"/>
  <c r="G115" i="10" s="1"/>
  <c r="H115" i="10" s="1"/>
  <c r="I115" i="10" s="1"/>
  <c r="J115" i="10" s="1"/>
  <c r="K115" i="10" s="1"/>
  <c r="L115" i="10" s="1"/>
  <c r="M115" i="10" s="1"/>
  <c r="N115" i="10" s="1"/>
  <c r="O115" i="10" s="1"/>
  <c r="P115" i="10" s="1"/>
  <c r="O114" i="10"/>
  <c r="P114" i="10" s="1"/>
  <c r="E114" i="10"/>
  <c r="F114" i="10" s="1"/>
  <c r="G114" i="10" s="1"/>
  <c r="H114" i="10" s="1"/>
  <c r="I114" i="10" s="1"/>
  <c r="J114" i="10" s="1"/>
  <c r="K114" i="10" s="1"/>
  <c r="L114" i="10" s="1"/>
  <c r="M114" i="10" s="1"/>
  <c r="N114" i="10" s="1"/>
  <c r="D114" i="10"/>
  <c r="K113" i="10"/>
  <c r="L113" i="10" s="1"/>
  <c r="M113" i="10" s="1"/>
  <c r="N113" i="10" s="1"/>
  <c r="O113" i="10" s="1"/>
  <c r="P113" i="10" s="1"/>
  <c r="D113" i="10"/>
  <c r="E113" i="10" s="1"/>
  <c r="F113" i="10" s="1"/>
  <c r="G113" i="10" s="1"/>
  <c r="H113" i="10" s="1"/>
  <c r="I113" i="10" s="1"/>
  <c r="J113" i="10" s="1"/>
  <c r="G112" i="10"/>
  <c r="H112" i="10" s="1"/>
  <c r="I112" i="10" s="1"/>
  <c r="J112" i="10" s="1"/>
  <c r="K112" i="10" s="1"/>
  <c r="L112" i="10" s="1"/>
  <c r="M112" i="10" s="1"/>
  <c r="N112" i="10" s="1"/>
  <c r="O112" i="10" s="1"/>
  <c r="P112" i="10" s="1"/>
  <c r="F112" i="10"/>
  <c r="E112" i="10"/>
  <c r="D112" i="10"/>
  <c r="D111" i="10"/>
  <c r="E111" i="10" s="1"/>
  <c r="F111" i="10" s="1"/>
  <c r="G111" i="10" s="1"/>
  <c r="H111" i="10" s="1"/>
  <c r="I111" i="10" s="1"/>
  <c r="J111" i="10" s="1"/>
  <c r="K111" i="10" s="1"/>
  <c r="L111" i="10" s="1"/>
  <c r="M111" i="10" s="1"/>
  <c r="N111" i="10" s="1"/>
  <c r="O111" i="10" s="1"/>
  <c r="P111" i="10" s="1"/>
  <c r="I110" i="10"/>
  <c r="J110" i="10" s="1"/>
  <c r="K110" i="10" s="1"/>
  <c r="L110" i="10" s="1"/>
  <c r="M110" i="10" s="1"/>
  <c r="N110" i="10" s="1"/>
  <c r="O110" i="10" s="1"/>
  <c r="P110" i="10" s="1"/>
  <c r="D110" i="10"/>
  <c r="E110" i="10" s="1"/>
  <c r="F110" i="10" s="1"/>
  <c r="G110" i="10" s="1"/>
  <c r="H110" i="10" s="1"/>
  <c r="H109" i="10"/>
  <c r="I109" i="10" s="1"/>
  <c r="J109" i="10" s="1"/>
  <c r="K109" i="10" s="1"/>
  <c r="L109" i="10" s="1"/>
  <c r="M109" i="10" s="1"/>
  <c r="N109" i="10" s="1"/>
  <c r="O109" i="10" s="1"/>
  <c r="P109" i="10" s="1"/>
  <c r="F109" i="10"/>
  <c r="G109" i="10" s="1"/>
  <c r="E109" i="10"/>
  <c r="D109" i="10"/>
  <c r="E108" i="10"/>
  <c r="F108" i="10" s="1"/>
  <c r="G108" i="10" s="1"/>
  <c r="H108" i="10" s="1"/>
  <c r="I108" i="10" s="1"/>
  <c r="J108" i="10" s="1"/>
  <c r="K108" i="10" s="1"/>
  <c r="L108" i="10" s="1"/>
  <c r="M108" i="10" s="1"/>
  <c r="N108" i="10" s="1"/>
  <c r="O108" i="10" s="1"/>
  <c r="P108" i="10" s="1"/>
  <c r="D108" i="10"/>
  <c r="H107" i="10"/>
  <c r="I107" i="10" s="1"/>
  <c r="J107" i="10" s="1"/>
  <c r="K107" i="10" s="1"/>
  <c r="L107" i="10" s="1"/>
  <c r="M107" i="10" s="1"/>
  <c r="N107" i="10" s="1"/>
  <c r="O107" i="10" s="1"/>
  <c r="P107" i="10" s="1"/>
  <c r="G107" i="10"/>
  <c r="F107" i="10"/>
  <c r="E107" i="10"/>
  <c r="D107" i="10"/>
  <c r="E106" i="10"/>
  <c r="F106" i="10" s="1"/>
  <c r="G106" i="10" s="1"/>
  <c r="H106" i="10" s="1"/>
  <c r="I106" i="10" s="1"/>
  <c r="J106" i="10" s="1"/>
  <c r="K106" i="10" s="1"/>
  <c r="L106" i="10" s="1"/>
  <c r="M106" i="10" s="1"/>
  <c r="N106" i="10" s="1"/>
  <c r="O106" i="10" s="1"/>
  <c r="P106" i="10" s="1"/>
  <c r="D106" i="10"/>
  <c r="J105" i="10"/>
  <c r="K105" i="10" s="1"/>
  <c r="L105" i="10" s="1"/>
  <c r="M105" i="10" s="1"/>
  <c r="N105" i="10" s="1"/>
  <c r="O105" i="10" s="1"/>
  <c r="P105" i="10" s="1"/>
  <c r="D105" i="10"/>
  <c r="E105" i="10" s="1"/>
  <c r="F105" i="10" s="1"/>
  <c r="G105" i="10" s="1"/>
  <c r="H105" i="10" s="1"/>
  <c r="I105" i="10" s="1"/>
  <c r="I104" i="10"/>
  <c r="J104" i="10" s="1"/>
  <c r="K104" i="10" s="1"/>
  <c r="L104" i="10" s="1"/>
  <c r="M104" i="10" s="1"/>
  <c r="N104" i="10" s="1"/>
  <c r="O104" i="10" s="1"/>
  <c r="P104" i="10" s="1"/>
  <c r="G104" i="10"/>
  <c r="H104" i="10" s="1"/>
  <c r="F104" i="10"/>
  <c r="E104" i="10"/>
  <c r="D104" i="10"/>
  <c r="D103" i="10"/>
  <c r="E103" i="10" s="1"/>
  <c r="F103" i="10" s="1"/>
  <c r="G103" i="10" s="1"/>
  <c r="H103" i="10" s="1"/>
  <c r="I103" i="10" s="1"/>
  <c r="J103" i="10" s="1"/>
  <c r="K103" i="10" s="1"/>
  <c r="L103" i="10" s="1"/>
  <c r="M103" i="10" s="1"/>
  <c r="N103" i="10" s="1"/>
  <c r="O103" i="10" s="1"/>
  <c r="P103" i="10" s="1"/>
  <c r="D99" i="10"/>
  <c r="E97" i="10"/>
  <c r="E148" i="10" s="1"/>
  <c r="D97" i="10"/>
  <c r="D96" i="10"/>
  <c r="D94" i="10"/>
  <c r="D145" i="10" s="1"/>
  <c r="D91" i="10"/>
  <c r="D142" i="10" s="1"/>
  <c r="D89" i="10"/>
  <c r="E88" i="10"/>
  <c r="D88" i="10"/>
  <c r="D84" i="10"/>
  <c r="F83" i="10"/>
  <c r="G83" i="10" s="1"/>
  <c r="H83" i="10" s="1"/>
  <c r="I83" i="10" s="1"/>
  <c r="J83" i="10" s="1"/>
  <c r="K83" i="10" s="1"/>
  <c r="L83" i="10" s="1"/>
  <c r="M83" i="10" s="1"/>
  <c r="N83" i="10" s="1"/>
  <c r="O83" i="10" s="1"/>
  <c r="P83" i="10" s="1"/>
  <c r="E83" i="10"/>
  <c r="D83" i="10"/>
  <c r="L82" i="10"/>
  <c r="M82" i="10" s="1"/>
  <c r="N82" i="10" s="1"/>
  <c r="O82" i="10" s="1"/>
  <c r="P82" i="10" s="1"/>
  <c r="E82" i="10"/>
  <c r="F82" i="10" s="1"/>
  <c r="G82" i="10" s="1"/>
  <c r="H82" i="10" s="1"/>
  <c r="I82" i="10" s="1"/>
  <c r="J82" i="10" s="1"/>
  <c r="K82" i="10" s="1"/>
  <c r="D82" i="10"/>
  <c r="D98" i="10" s="1"/>
  <c r="I81" i="10"/>
  <c r="J81" i="10" s="1"/>
  <c r="K81" i="10" s="1"/>
  <c r="L81" i="10" s="1"/>
  <c r="M81" i="10" s="1"/>
  <c r="N81" i="10" s="1"/>
  <c r="O81" i="10" s="1"/>
  <c r="P81" i="10" s="1"/>
  <c r="D81" i="10"/>
  <c r="E81" i="10" s="1"/>
  <c r="F81" i="10" s="1"/>
  <c r="G81" i="10" s="1"/>
  <c r="H81" i="10" s="1"/>
  <c r="E80" i="10"/>
  <c r="F80" i="10" s="1"/>
  <c r="G80" i="10" s="1"/>
  <c r="H80" i="10" s="1"/>
  <c r="I80" i="10" s="1"/>
  <c r="J80" i="10" s="1"/>
  <c r="K80" i="10" s="1"/>
  <c r="L80" i="10" s="1"/>
  <c r="M80" i="10" s="1"/>
  <c r="N80" i="10" s="1"/>
  <c r="O80" i="10" s="1"/>
  <c r="P80" i="10" s="1"/>
  <c r="D80" i="10"/>
  <c r="E79" i="10"/>
  <c r="F79" i="10" s="1"/>
  <c r="G79" i="10" s="1"/>
  <c r="H79" i="10" s="1"/>
  <c r="I79" i="10" s="1"/>
  <c r="J79" i="10" s="1"/>
  <c r="K79" i="10" s="1"/>
  <c r="L79" i="10" s="1"/>
  <c r="M79" i="10" s="1"/>
  <c r="N79" i="10" s="1"/>
  <c r="O79" i="10" s="1"/>
  <c r="P79" i="10" s="1"/>
  <c r="D79" i="10"/>
  <c r="D95" i="10" s="1"/>
  <c r="D146" i="10" s="1"/>
  <c r="G78" i="10"/>
  <c r="H78" i="10" s="1"/>
  <c r="I78" i="10" s="1"/>
  <c r="J78" i="10" s="1"/>
  <c r="K78" i="10" s="1"/>
  <c r="L78" i="10" s="1"/>
  <c r="M78" i="10" s="1"/>
  <c r="N78" i="10" s="1"/>
  <c r="O78" i="10" s="1"/>
  <c r="P78" i="10" s="1"/>
  <c r="F78" i="10"/>
  <c r="E78" i="10"/>
  <c r="D78" i="10"/>
  <c r="D77" i="10"/>
  <c r="E77" i="10" s="1"/>
  <c r="F77" i="10" s="1"/>
  <c r="G77" i="10" s="1"/>
  <c r="H77" i="10" s="1"/>
  <c r="I77" i="10" s="1"/>
  <c r="J77" i="10" s="1"/>
  <c r="K77" i="10" s="1"/>
  <c r="L77" i="10" s="1"/>
  <c r="M77" i="10" s="1"/>
  <c r="N77" i="10" s="1"/>
  <c r="O77" i="10" s="1"/>
  <c r="P77" i="10" s="1"/>
  <c r="D76" i="10"/>
  <c r="D75" i="10"/>
  <c r="E75" i="10" s="1"/>
  <c r="F75" i="10" s="1"/>
  <c r="G75" i="10" s="1"/>
  <c r="H75" i="10" s="1"/>
  <c r="I75" i="10" s="1"/>
  <c r="J75" i="10" s="1"/>
  <c r="K75" i="10" s="1"/>
  <c r="L75" i="10" s="1"/>
  <c r="M75" i="10" s="1"/>
  <c r="N75" i="10" s="1"/>
  <c r="O75" i="10" s="1"/>
  <c r="P75" i="10" s="1"/>
  <c r="N74" i="10"/>
  <c r="O74" i="10" s="1"/>
  <c r="P74" i="10" s="1"/>
  <c r="E74" i="10"/>
  <c r="F74" i="10" s="1"/>
  <c r="G74" i="10" s="1"/>
  <c r="H74" i="10" s="1"/>
  <c r="I74" i="10" s="1"/>
  <c r="J74" i="10" s="1"/>
  <c r="K74" i="10" s="1"/>
  <c r="L74" i="10" s="1"/>
  <c r="M74" i="10" s="1"/>
  <c r="D74" i="10"/>
  <c r="D90" i="10" s="1"/>
  <c r="H73" i="10"/>
  <c r="I73" i="10" s="1"/>
  <c r="J73" i="10" s="1"/>
  <c r="K73" i="10" s="1"/>
  <c r="L73" i="10" s="1"/>
  <c r="M73" i="10" s="1"/>
  <c r="N73" i="10" s="1"/>
  <c r="O73" i="10" s="1"/>
  <c r="P73" i="10" s="1"/>
  <c r="D73" i="10"/>
  <c r="E73" i="10" s="1"/>
  <c r="F73" i="10" s="1"/>
  <c r="G73" i="10" s="1"/>
  <c r="F72" i="10"/>
  <c r="G72" i="10" s="1"/>
  <c r="H72" i="10" s="1"/>
  <c r="I72" i="10" s="1"/>
  <c r="J72" i="10" s="1"/>
  <c r="K72" i="10" s="1"/>
  <c r="L72" i="10" s="1"/>
  <c r="M72" i="10" s="1"/>
  <c r="N72" i="10" s="1"/>
  <c r="O72" i="10" s="1"/>
  <c r="P72" i="10" s="1"/>
  <c r="E72" i="10"/>
  <c r="D72" i="10"/>
  <c r="D71" i="10"/>
  <c r="D87" i="10" s="1"/>
  <c r="D138" i="10" s="1"/>
  <c r="E69" i="10"/>
  <c r="F69" i="10" s="1"/>
  <c r="G69" i="10" s="1"/>
  <c r="H69" i="10" s="1"/>
  <c r="I69" i="10" s="1"/>
  <c r="J69" i="10" s="1"/>
  <c r="K69" i="10" s="1"/>
  <c r="L69" i="10" s="1"/>
  <c r="M69" i="10" s="1"/>
  <c r="N69" i="10" s="1"/>
  <c r="O69" i="10" s="1"/>
  <c r="P69" i="10" s="1"/>
  <c r="I68" i="10"/>
  <c r="J68" i="10" s="1"/>
  <c r="K68" i="10" s="1"/>
  <c r="L68" i="10" s="1"/>
  <c r="M68" i="10" s="1"/>
  <c r="N68" i="10" s="1"/>
  <c r="O68" i="10" s="1"/>
  <c r="P68" i="10" s="1"/>
  <c r="H68" i="10"/>
  <c r="D65" i="10"/>
  <c r="D60" i="10"/>
  <c r="D26" i="10"/>
  <c r="D100" i="9"/>
  <c r="E100" i="9" s="1"/>
  <c r="F100" i="9" s="1"/>
  <c r="G100" i="9" s="1"/>
  <c r="H100" i="9" s="1"/>
  <c r="I100" i="9" s="1"/>
  <c r="J100" i="9" s="1"/>
  <c r="K100" i="9" s="1"/>
  <c r="L100" i="9" s="1"/>
  <c r="M100" i="9" s="1"/>
  <c r="N100" i="9" s="1"/>
  <c r="O100" i="9" s="1"/>
  <c r="P100" i="9" s="1"/>
  <c r="E85" i="9"/>
  <c r="F85" i="9" s="1"/>
  <c r="G85" i="9" s="1"/>
  <c r="H85" i="9" s="1"/>
  <c r="I85" i="9" s="1"/>
  <c r="J85" i="9" s="1"/>
  <c r="K85" i="9" s="1"/>
  <c r="L85" i="9" s="1"/>
  <c r="M85" i="9" s="1"/>
  <c r="N85" i="9" s="1"/>
  <c r="O85" i="9" s="1"/>
  <c r="P85" i="9" s="1"/>
  <c r="D85" i="9"/>
  <c r="M84" i="9"/>
  <c r="N84" i="9" s="1"/>
  <c r="O84" i="9" s="1"/>
  <c r="P84" i="9" s="1"/>
  <c r="D84" i="9"/>
  <c r="E84" i="9" s="1"/>
  <c r="F84" i="9" s="1"/>
  <c r="G84" i="9" s="1"/>
  <c r="H84" i="9" s="1"/>
  <c r="I84" i="9" s="1"/>
  <c r="J84" i="9" s="1"/>
  <c r="K84" i="9" s="1"/>
  <c r="L84" i="9" s="1"/>
  <c r="E83" i="9"/>
  <c r="F83" i="9" s="1"/>
  <c r="G83" i="9" s="1"/>
  <c r="H83" i="9" s="1"/>
  <c r="I83" i="9" s="1"/>
  <c r="J83" i="9" s="1"/>
  <c r="K83" i="9" s="1"/>
  <c r="L83" i="9" s="1"/>
  <c r="M83" i="9" s="1"/>
  <c r="N83" i="9" s="1"/>
  <c r="O83" i="9" s="1"/>
  <c r="P83" i="9" s="1"/>
  <c r="D83" i="9"/>
  <c r="E82" i="9"/>
  <c r="F82" i="9" s="1"/>
  <c r="G82" i="9" s="1"/>
  <c r="H82" i="9" s="1"/>
  <c r="I82" i="9" s="1"/>
  <c r="J82" i="9" s="1"/>
  <c r="K82" i="9" s="1"/>
  <c r="L82" i="9" s="1"/>
  <c r="M82" i="9" s="1"/>
  <c r="N82" i="9" s="1"/>
  <c r="O82" i="9" s="1"/>
  <c r="P82" i="9" s="1"/>
  <c r="D82" i="9"/>
  <c r="J81" i="9"/>
  <c r="K81" i="9" s="1"/>
  <c r="L81" i="9" s="1"/>
  <c r="M81" i="9" s="1"/>
  <c r="N81" i="9" s="1"/>
  <c r="O81" i="9" s="1"/>
  <c r="P81" i="9" s="1"/>
  <c r="E81" i="9"/>
  <c r="F81" i="9" s="1"/>
  <c r="G81" i="9" s="1"/>
  <c r="H81" i="9" s="1"/>
  <c r="I81" i="9" s="1"/>
  <c r="D81" i="9"/>
  <c r="D80" i="9"/>
  <c r="E80" i="9" s="1"/>
  <c r="F80" i="9" s="1"/>
  <c r="G80" i="9" s="1"/>
  <c r="H80" i="9" s="1"/>
  <c r="I80" i="9" s="1"/>
  <c r="J80" i="9" s="1"/>
  <c r="K80" i="9" s="1"/>
  <c r="L80" i="9" s="1"/>
  <c r="M80" i="9" s="1"/>
  <c r="N80" i="9" s="1"/>
  <c r="O80" i="9" s="1"/>
  <c r="P80" i="9" s="1"/>
  <c r="D79" i="9"/>
  <c r="E79" i="9" s="1"/>
  <c r="F79" i="9" s="1"/>
  <c r="G79" i="9" s="1"/>
  <c r="H79" i="9" s="1"/>
  <c r="I79" i="9" s="1"/>
  <c r="J79" i="9" s="1"/>
  <c r="K79" i="9" s="1"/>
  <c r="L79" i="9" s="1"/>
  <c r="M79" i="9" s="1"/>
  <c r="N79" i="9" s="1"/>
  <c r="O79" i="9" s="1"/>
  <c r="P79" i="9" s="1"/>
  <c r="I78" i="9"/>
  <c r="J78" i="9" s="1"/>
  <c r="K78" i="9" s="1"/>
  <c r="L78" i="9" s="1"/>
  <c r="M78" i="9" s="1"/>
  <c r="N78" i="9" s="1"/>
  <c r="O78" i="9" s="1"/>
  <c r="P78" i="9" s="1"/>
  <c r="D78" i="9"/>
  <c r="E78" i="9" s="1"/>
  <c r="F78" i="9" s="1"/>
  <c r="G78" i="9" s="1"/>
  <c r="H78" i="9" s="1"/>
  <c r="F77" i="9"/>
  <c r="G77" i="9" s="1"/>
  <c r="H77" i="9" s="1"/>
  <c r="I77" i="9" s="1"/>
  <c r="J77" i="9" s="1"/>
  <c r="K77" i="9" s="1"/>
  <c r="L77" i="9" s="1"/>
  <c r="M77" i="9" s="1"/>
  <c r="N77" i="9" s="1"/>
  <c r="O77" i="9" s="1"/>
  <c r="P77" i="9" s="1"/>
  <c r="D77" i="9"/>
  <c r="E77" i="9" s="1"/>
  <c r="D70" i="9"/>
  <c r="D68" i="9"/>
  <c r="E68" i="9" s="1"/>
  <c r="D67" i="9"/>
  <c r="E63" i="9"/>
  <c r="F63" i="9" s="1"/>
  <c r="G63" i="9" s="1"/>
  <c r="H63" i="9" s="1"/>
  <c r="I63" i="9" s="1"/>
  <c r="J63" i="9" s="1"/>
  <c r="K63" i="9" s="1"/>
  <c r="L63" i="9" s="1"/>
  <c r="M63" i="9" s="1"/>
  <c r="N63" i="9" s="1"/>
  <c r="O63" i="9" s="1"/>
  <c r="P63" i="9" s="1"/>
  <c r="D63" i="9"/>
  <c r="D74" i="9" s="1"/>
  <c r="E62" i="9"/>
  <c r="F62" i="9" s="1"/>
  <c r="G62" i="9" s="1"/>
  <c r="H62" i="9" s="1"/>
  <c r="I62" i="9" s="1"/>
  <c r="J62" i="9" s="1"/>
  <c r="K62" i="9" s="1"/>
  <c r="L62" i="9" s="1"/>
  <c r="M62" i="9" s="1"/>
  <c r="N62" i="9" s="1"/>
  <c r="O62" i="9" s="1"/>
  <c r="P62" i="9" s="1"/>
  <c r="D62" i="9"/>
  <c r="D73" i="9" s="1"/>
  <c r="D61" i="9"/>
  <c r="D60" i="9"/>
  <c r="D71" i="9" s="1"/>
  <c r="D59" i="9"/>
  <c r="E59" i="9" s="1"/>
  <c r="F59" i="9" s="1"/>
  <c r="G59" i="9" s="1"/>
  <c r="H59" i="9" s="1"/>
  <c r="I59" i="9" s="1"/>
  <c r="J59" i="9" s="1"/>
  <c r="K59" i="9" s="1"/>
  <c r="L59" i="9" s="1"/>
  <c r="M59" i="9" s="1"/>
  <c r="N59" i="9" s="1"/>
  <c r="O59" i="9" s="1"/>
  <c r="P59" i="9" s="1"/>
  <c r="D58" i="9"/>
  <c r="D69" i="9" s="1"/>
  <c r="F57" i="9"/>
  <c r="G57" i="9" s="1"/>
  <c r="H57" i="9" s="1"/>
  <c r="I57" i="9" s="1"/>
  <c r="J57" i="9" s="1"/>
  <c r="K57" i="9" s="1"/>
  <c r="L57" i="9" s="1"/>
  <c r="M57" i="9" s="1"/>
  <c r="N57" i="9" s="1"/>
  <c r="O57" i="9" s="1"/>
  <c r="P57" i="9" s="1"/>
  <c r="E57" i="9"/>
  <c r="D57" i="9"/>
  <c r="E56" i="9"/>
  <c r="D56" i="9"/>
  <c r="E55" i="9"/>
  <c r="F55" i="9" s="1"/>
  <c r="D55" i="9"/>
  <c r="D64" i="9" s="1"/>
  <c r="E53" i="9"/>
  <c r="F53" i="9" s="1"/>
  <c r="G53" i="9" s="1"/>
  <c r="H53" i="9" s="1"/>
  <c r="I53" i="9" s="1"/>
  <c r="J53" i="9" s="1"/>
  <c r="K53" i="9" s="1"/>
  <c r="L53" i="9" s="1"/>
  <c r="M53" i="9" s="1"/>
  <c r="N53" i="9" s="1"/>
  <c r="O53" i="9" s="1"/>
  <c r="P53" i="9" s="1"/>
  <c r="K52" i="9"/>
  <c r="L52" i="9" s="1"/>
  <c r="M52" i="9" s="1"/>
  <c r="N52" i="9" s="1"/>
  <c r="O52" i="9" s="1"/>
  <c r="P52" i="9" s="1"/>
  <c r="H52" i="9"/>
  <c r="I52" i="9" s="1"/>
  <c r="J52" i="9" s="1"/>
  <c r="D50" i="9"/>
  <c r="D45" i="9"/>
  <c r="D21" i="9"/>
  <c r="O197" i="8"/>
  <c r="P197" i="8" s="1"/>
  <c r="J197" i="8"/>
  <c r="K197" i="8" s="1"/>
  <c r="L197" i="8" s="1"/>
  <c r="M197" i="8" s="1"/>
  <c r="N197" i="8" s="1"/>
  <c r="H196" i="8"/>
  <c r="I196" i="8" s="1"/>
  <c r="J196" i="8" s="1"/>
  <c r="K196" i="8" s="1"/>
  <c r="L196" i="8" s="1"/>
  <c r="M196" i="8" s="1"/>
  <c r="N196" i="8" s="1"/>
  <c r="O196" i="8" s="1"/>
  <c r="P196" i="8" s="1"/>
  <c r="E176" i="8"/>
  <c r="D176" i="8"/>
  <c r="F174" i="8"/>
  <c r="D173" i="8"/>
  <c r="F171" i="8"/>
  <c r="E171" i="8"/>
  <c r="E168" i="8"/>
  <c r="D168" i="8"/>
  <c r="G166" i="8"/>
  <c r="F166" i="8"/>
  <c r="D165" i="8"/>
  <c r="F163" i="8"/>
  <c r="E163" i="8"/>
  <c r="K160" i="8"/>
  <c r="L160" i="8" s="1"/>
  <c r="M160" i="8" s="1"/>
  <c r="N160" i="8" s="1"/>
  <c r="O160" i="8" s="1"/>
  <c r="P160" i="8" s="1"/>
  <c r="G160" i="8"/>
  <c r="H160" i="8" s="1"/>
  <c r="I160" i="8" s="1"/>
  <c r="J160" i="8" s="1"/>
  <c r="F160" i="8"/>
  <c r="E160" i="8"/>
  <c r="D160" i="8"/>
  <c r="F159" i="8"/>
  <c r="G159" i="8" s="1"/>
  <c r="H159" i="8" s="1"/>
  <c r="I159" i="8" s="1"/>
  <c r="J159" i="8" s="1"/>
  <c r="K159" i="8" s="1"/>
  <c r="L159" i="8" s="1"/>
  <c r="E159" i="8"/>
  <c r="D159" i="8"/>
  <c r="I158" i="8"/>
  <c r="J158" i="8" s="1"/>
  <c r="K158" i="8" s="1"/>
  <c r="L158" i="8" s="1"/>
  <c r="M158" i="8" s="1"/>
  <c r="N158" i="8" s="1"/>
  <c r="O158" i="8" s="1"/>
  <c r="P158" i="8" s="1"/>
  <c r="H158" i="8"/>
  <c r="F158" i="8"/>
  <c r="G158" i="8" s="1"/>
  <c r="E158" i="8"/>
  <c r="D158" i="8"/>
  <c r="M157" i="8"/>
  <c r="N157" i="8" s="1"/>
  <c r="O157" i="8" s="1"/>
  <c r="P157" i="8" s="1"/>
  <c r="F157" i="8"/>
  <c r="G157" i="8" s="1"/>
  <c r="H157" i="8" s="1"/>
  <c r="I157" i="8" s="1"/>
  <c r="J157" i="8" s="1"/>
  <c r="K157" i="8" s="1"/>
  <c r="L157" i="8" s="1"/>
  <c r="E157" i="8"/>
  <c r="D157" i="8"/>
  <c r="G156" i="8"/>
  <c r="H156" i="8" s="1"/>
  <c r="F156" i="8"/>
  <c r="E156" i="8"/>
  <c r="D156" i="8"/>
  <c r="G155" i="8"/>
  <c r="H155" i="8" s="1"/>
  <c r="I155" i="8" s="1"/>
  <c r="J155" i="8" s="1"/>
  <c r="K155" i="8" s="1"/>
  <c r="L155" i="8" s="1"/>
  <c r="M155" i="8" s="1"/>
  <c r="N155" i="8" s="1"/>
  <c r="O155" i="8" s="1"/>
  <c r="P155" i="8" s="1"/>
  <c r="F155" i="8"/>
  <c r="E155" i="8"/>
  <c r="D155" i="8"/>
  <c r="L154" i="8"/>
  <c r="M154" i="8" s="1"/>
  <c r="N154" i="8" s="1"/>
  <c r="O154" i="8" s="1"/>
  <c r="P154" i="8" s="1"/>
  <c r="F154" i="8"/>
  <c r="G154" i="8" s="1"/>
  <c r="H154" i="8" s="1"/>
  <c r="I154" i="8" s="1"/>
  <c r="J154" i="8" s="1"/>
  <c r="K154" i="8" s="1"/>
  <c r="E154" i="8"/>
  <c r="D154" i="8"/>
  <c r="F153" i="8"/>
  <c r="G153" i="8" s="1"/>
  <c r="H153" i="8" s="1"/>
  <c r="I153" i="8" s="1"/>
  <c r="J153" i="8" s="1"/>
  <c r="K153" i="8" s="1"/>
  <c r="L153" i="8" s="1"/>
  <c r="M153" i="8" s="1"/>
  <c r="N153" i="8" s="1"/>
  <c r="O153" i="8" s="1"/>
  <c r="P153" i="8" s="1"/>
  <c r="E153" i="8"/>
  <c r="D153" i="8"/>
  <c r="F152" i="8"/>
  <c r="G152" i="8" s="1"/>
  <c r="H152" i="8" s="1"/>
  <c r="I152" i="8" s="1"/>
  <c r="J152" i="8" s="1"/>
  <c r="K152" i="8" s="1"/>
  <c r="L152" i="8" s="1"/>
  <c r="M152" i="8" s="1"/>
  <c r="N152" i="8" s="1"/>
  <c r="O152" i="8" s="1"/>
  <c r="P152" i="8" s="1"/>
  <c r="E152" i="8"/>
  <c r="D152" i="8"/>
  <c r="K151" i="8"/>
  <c r="L151" i="8" s="1"/>
  <c r="M151" i="8" s="1"/>
  <c r="N151" i="8" s="1"/>
  <c r="O151" i="8" s="1"/>
  <c r="P151" i="8" s="1"/>
  <c r="F151" i="8"/>
  <c r="G151" i="8" s="1"/>
  <c r="H151" i="8" s="1"/>
  <c r="I151" i="8" s="1"/>
  <c r="J151" i="8" s="1"/>
  <c r="E151" i="8"/>
  <c r="D151" i="8"/>
  <c r="H150" i="8"/>
  <c r="I150" i="8" s="1"/>
  <c r="J150" i="8" s="1"/>
  <c r="K150" i="8" s="1"/>
  <c r="L150" i="8" s="1"/>
  <c r="M150" i="8" s="1"/>
  <c r="N150" i="8" s="1"/>
  <c r="O150" i="8" s="1"/>
  <c r="P150" i="8" s="1"/>
  <c r="G150" i="8"/>
  <c r="F150" i="8"/>
  <c r="E150" i="8"/>
  <c r="D150" i="8"/>
  <c r="M149" i="8"/>
  <c r="N149" i="8" s="1"/>
  <c r="O149" i="8" s="1"/>
  <c r="P149" i="8" s="1"/>
  <c r="F149" i="8"/>
  <c r="G149" i="8" s="1"/>
  <c r="H149" i="8" s="1"/>
  <c r="I149" i="8" s="1"/>
  <c r="J149" i="8" s="1"/>
  <c r="K149" i="8" s="1"/>
  <c r="L149" i="8" s="1"/>
  <c r="E149" i="8"/>
  <c r="D149" i="8"/>
  <c r="K148" i="8"/>
  <c r="L148" i="8" s="1"/>
  <c r="M148" i="8" s="1"/>
  <c r="N148" i="8" s="1"/>
  <c r="O148" i="8" s="1"/>
  <c r="P148" i="8" s="1"/>
  <c r="J148" i="8"/>
  <c r="G148" i="8"/>
  <c r="H148" i="8" s="1"/>
  <c r="I148" i="8" s="1"/>
  <c r="F148" i="8"/>
  <c r="E148" i="8"/>
  <c r="D148" i="8"/>
  <c r="H147" i="8"/>
  <c r="I147" i="8" s="1"/>
  <c r="J147" i="8" s="1"/>
  <c r="K147" i="8" s="1"/>
  <c r="L147" i="8" s="1"/>
  <c r="M147" i="8" s="1"/>
  <c r="N147" i="8" s="1"/>
  <c r="O147" i="8" s="1"/>
  <c r="P147" i="8" s="1"/>
  <c r="G147" i="8"/>
  <c r="F147" i="8"/>
  <c r="E147" i="8"/>
  <c r="D147" i="8"/>
  <c r="F144" i="8"/>
  <c r="E144" i="8"/>
  <c r="D144" i="8"/>
  <c r="D192" i="8" s="1"/>
  <c r="G143" i="8"/>
  <c r="F143" i="8"/>
  <c r="E143" i="8"/>
  <c r="D143" i="8"/>
  <c r="D191" i="8" s="1"/>
  <c r="F142" i="8"/>
  <c r="E142" i="8"/>
  <c r="D142" i="8"/>
  <c r="F141" i="8"/>
  <c r="F189" i="8" s="1"/>
  <c r="E141" i="8"/>
  <c r="D141" i="8"/>
  <c r="F140" i="8"/>
  <c r="E140" i="8"/>
  <c r="D140" i="8"/>
  <c r="D188" i="8" s="1"/>
  <c r="F139" i="8"/>
  <c r="E139" i="8"/>
  <c r="E187" i="8" s="1"/>
  <c r="D139" i="8"/>
  <c r="H138" i="8"/>
  <c r="G138" i="8"/>
  <c r="F138" i="8"/>
  <c r="E138" i="8"/>
  <c r="D138" i="8"/>
  <c r="F137" i="8"/>
  <c r="E137" i="8"/>
  <c r="D137" i="8"/>
  <c r="F136" i="8"/>
  <c r="E136" i="8"/>
  <c r="D136" i="8"/>
  <c r="G135" i="8"/>
  <c r="F135" i="8"/>
  <c r="E135" i="8"/>
  <c r="D135" i="8"/>
  <c r="F134" i="8"/>
  <c r="E134" i="8"/>
  <c r="D134" i="8"/>
  <c r="F133" i="8"/>
  <c r="E133" i="8"/>
  <c r="D133" i="8"/>
  <c r="F132" i="8"/>
  <c r="E132" i="8"/>
  <c r="D132" i="8"/>
  <c r="F131" i="8"/>
  <c r="E131" i="8"/>
  <c r="E179" i="8" s="1"/>
  <c r="D131" i="8"/>
  <c r="G128" i="8"/>
  <c r="G176" i="8" s="1"/>
  <c r="F128" i="8"/>
  <c r="F176" i="8" s="1"/>
  <c r="E128" i="8"/>
  <c r="D128" i="8"/>
  <c r="F127" i="8"/>
  <c r="F175" i="8" s="1"/>
  <c r="E127" i="8"/>
  <c r="E175" i="8" s="1"/>
  <c r="D127" i="8"/>
  <c r="D175" i="8" s="1"/>
  <c r="F126" i="8"/>
  <c r="G126" i="8" s="1"/>
  <c r="E126" i="8"/>
  <c r="E174" i="8" s="1"/>
  <c r="D126" i="8"/>
  <c r="D174" i="8" s="1"/>
  <c r="G125" i="8"/>
  <c r="F125" i="8"/>
  <c r="F173" i="8" s="1"/>
  <c r="E125" i="8"/>
  <c r="D125" i="8"/>
  <c r="H124" i="8"/>
  <c r="I124" i="8" s="1"/>
  <c r="J124" i="8" s="1"/>
  <c r="G124" i="8"/>
  <c r="G172" i="8" s="1"/>
  <c r="F124" i="8"/>
  <c r="F172" i="8" s="1"/>
  <c r="E124" i="8"/>
  <c r="E172" i="8" s="1"/>
  <c r="D124" i="8"/>
  <c r="D172" i="8" s="1"/>
  <c r="F123" i="8"/>
  <c r="G123" i="8" s="1"/>
  <c r="E123" i="8"/>
  <c r="D123" i="8"/>
  <c r="D171" i="8" s="1"/>
  <c r="F122" i="8"/>
  <c r="E122" i="8"/>
  <c r="E170" i="8" s="1"/>
  <c r="E186" i="8" s="1"/>
  <c r="D122" i="8"/>
  <c r="G121" i="8"/>
  <c r="H121" i="8" s="1"/>
  <c r="I121" i="8" s="1"/>
  <c r="F121" i="8"/>
  <c r="F169" i="8" s="1"/>
  <c r="E121" i="8"/>
  <c r="E169" i="8" s="1"/>
  <c r="D121" i="8"/>
  <c r="D169" i="8" s="1"/>
  <c r="H120" i="8"/>
  <c r="G120" i="8"/>
  <c r="F120" i="8"/>
  <c r="E120" i="8"/>
  <c r="D120" i="8"/>
  <c r="F119" i="8"/>
  <c r="F167" i="8" s="1"/>
  <c r="E119" i="8"/>
  <c r="E167" i="8" s="1"/>
  <c r="D119" i="8"/>
  <c r="J118" i="8"/>
  <c r="I118" i="8"/>
  <c r="F118" i="8"/>
  <c r="G118" i="8" s="1"/>
  <c r="H118" i="8" s="1"/>
  <c r="E118" i="8"/>
  <c r="E166" i="8" s="1"/>
  <c r="D118" i="8"/>
  <c r="D166" i="8" s="1"/>
  <c r="F117" i="8"/>
  <c r="F165" i="8" s="1"/>
  <c r="F181" i="8" s="1"/>
  <c r="E117" i="8"/>
  <c r="D117" i="8"/>
  <c r="F116" i="8"/>
  <c r="F164" i="8" s="1"/>
  <c r="E116" i="8"/>
  <c r="E164" i="8" s="1"/>
  <c r="D116" i="8"/>
  <c r="D164" i="8" s="1"/>
  <c r="F115" i="8"/>
  <c r="G115" i="8" s="1"/>
  <c r="E115" i="8"/>
  <c r="D115" i="8"/>
  <c r="D163" i="8" s="1"/>
  <c r="D110" i="8"/>
  <c r="D107" i="8"/>
  <c r="E105" i="8"/>
  <c r="E102" i="8"/>
  <c r="F100" i="8"/>
  <c r="G100" i="8" s="1"/>
  <c r="H100" i="8" s="1"/>
  <c r="I100" i="8" s="1"/>
  <c r="J100" i="8" s="1"/>
  <c r="K100" i="8" s="1"/>
  <c r="L100" i="8" s="1"/>
  <c r="M100" i="8" s="1"/>
  <c r="N100" i="8" s="1"/>
  <c r="O100" i="8" s="1"/>
  <c r="P100" i="8" s="1"/>
  <c r="D99" i="8"/>
  <c r="D97" i="8"/>
  <c r="D197" i="8" s="1"/>
  <c r="E197" i="8" s="1"/>
  <c r="F197" i="8" s="1"/>
  <c r="G197" i="8" s="1"/>
  <c r="H197" i="8" s="1"/>
  <c r="I197" i="8" s="1"/>
  <c r="M96" i="8"/>
  <c r="N96" i="8" s="1"/>
  <c r="O96" i="8" s="1"/>
  <c r="P96" i="8" s="1"/>
  <c r="H96" i="8"/>
  <c r="I96" i="8" s="1"/>
  <c r="J96" i="8" s="1"/>
  <c r="K96" i="8" s="1"/>
  <c r="L96" i="8" s="1"/>
  <c r="E92" i="8"/>
  <c r="E110" i="8" s="1"/>
  <c r="D92" i="8"/>
  <c r="F91" i="8"/>
  <c r="F92" i="8" s="1"/>
  <c r="F108" i="8" s="1"/>
  <c r="G108" i="8" s="1"/>
  <c r="H108" i="8" s="1"/>
  <c r="I108" i="8" s="1"/>
  <c r="J108" i="8" s="1"/>
  <c r="K108" i="8" s="1"/>
  <c r="L108" i="8" s="1"/>
  <c r="M108" i="8" s="1"/>
  <c r="N108" i="8" s="1"/>
  <c r="O108" i="8" s="1"/>
  <c r="P108" i="8" s="1"/>
  <c r="E91" i="8"/>
  <c r="D91" i="8"/>
  <c r="E85" i="8"/>
  <c r="E84" i="8"/>
  <c r="E83" i="8"/>
  <c r="E82" i="8"/>
  <c r="E81" i="8"/>
  <c r="E80" i="8"/>
  <c r="F79" i="8"/>
  <c r="E79" i="8"/>
  <c r="E78" i="8"/>
  <c r="E77" i="8"/>
  <c r="E76" i="8"/>
  <c r="E75" i="8"/>
  <c r="E74" i="8"/>
  <c r="E73" i="8"/>
  <c r="E72" i="8"/>
  <c r="F37" i="8"/>
  <c r="E37" i="8"/>
  <c r="D37" i="8"/>
  <c r="D14" i="8"/>
  <c r="G139" i="8" s="1"/>
  <c r="E165" i="7"/>
  <c r="F163" i="7"/>
  <c r="F160" i="7"/>
  <c r="D153" i="7"/>
  <c r="E153" i="7" s="1"/>
  <c r="F153" i="7" s="1"/>
  <c r="G153" i="7" s="1"/>
  <c r="H153" i="7" s="1"/>
  <c r="I153" i="7" s="1"/>
  <c r="J153" i="7" s="1"/>
  <c r="K153" i="7" s="1"/>
  <c r="L153" i="7" s="1"/>
  <c r="M153" i="7" s="1"/>
  <c r="N153" i="7" s="1"/>
  <c r="O153" i="7" s="1"/>
  <c r="P153" i="7" s="1"/>
  <c r="D147" i="7"/>
  <c r="D144" i="7"/>
  <c r="E142" i="7"/>
  <c r="E139" i="7"/>
  <c r="F136" i="7"/>
  <c r="D135" i="7"/>
  <c r="F133" i="7"/>
  <c r="F145" i="7" s="1"/>
  <c r="E130" i="7"/>
  <c r="D130" i="7"/>
  <c r="D127" i="7"/>
  <c r="D139" i="7" s="1"/>
  <c r="N124" i="7"/>
  <c r="O124" i="7" s="1"/>
  <c r="P124" i="7" s="1"/>
  <c r="F124" i="7"/>
  <c r="G124" i="7" s="1"/>
  <c r="H124" i="7" s="1"/>
  <c r="I124" i="7" s="1"/>
  <c r="J124" i="7" s="1"/>
  <c r="K124" i="7" s="1"/>
  <c r="L124" i="7" s="1"/>
  <c r="M124" i="7" s="1"/>
  <c r="E124" i="7"/>
  <c r="D124" i="7"/>
  <c r="F123" i="7"/>
  <c r="G123" i="7" s="1"/>
  <c r="H123" i="7" s="1"/>
  <c r="I123" i="7" s="1"/>
  <c r="J123" i="7" s="1"/>
  <c r="K123" i="7" s="1"/>
  <c r="L123" i="7" s="1"/>
  <c r="M123" i="7" s="1"/>
  <c r="N123" i="7" s="1"/>
  <c r="O123" i="7" s="1"/>
  <c r="P123" i="7" s="1"/>
  <c r="E123" i="7"/>
  <c r="D123" i="7"/>
  <c r="H122" i="7"/>
  <c r="I122" i="7" s="1"/>
  <c r="J122" i="7" s="1"/>
  <c r="K122" i="7" s="1"/>
  <c r="L122" i="7" s="1"/>
  <c r="M122" i="7" s="1"/>
  <c r="N122" i="7" s="1"/>
  <c r="O122" i="7" s="1"/>
  <c r="P122" i="7" s="1"/>
  <c r="G122" i="7"/>
  <c r="F122" i="7"/>
  <c r="E122" i="7"/>
  <c r="D122" i="7"/>
  <c r="L121" i="7"/>
  <c r="M121" i="7" s="1"/>
  <c r="N121" i="7" s="1"/>
  <c r="O121" i="7" s="1"/>
  <c r="P121" i="7" s="1"/>
  <c r="F121" i="7"/>
  <c r="G121" i="7" s="1"/>
  <c r="H121" i="7" s="1"/>
  <c r="I121" i="7" s="1"/>
  <c r="J121" i="7" s="1"/>
  <c r="K121" i="7" s="1"/>
  <c r="E121" i="7"/>
  <c r="E133" i="7" s="1"/>
  <c r="D121" i="7"/>
  <c r="I120" i="7"/>
  <c r="J120" i="7" s="1"/>
  <c r="K120" i="7" s="1"/>
  <c r="L120" i="7" s="1"/>
  <c r="M120" i="7" s="1"/>
  <c r="N120" i="7" s="1"/>
  <c r="O120" i="7" s="1"/>
  <c r="P120" i="7" s="1"/>
  <c r="F120" i="7"/>
  <c r="G120" i="7" s="1"/>
  <c r="H120" i="7" s="1"/>
  <c r="E120" i="7"/>
  <c r="D120" i="7"/>
  <c r="N119" i="7"/>
  <c r="O119" i="7" s="1"/>
  <c r="P119" i="7" s="1"/>
  <c r="G119" i="7"/>
  <c r="H119" i="7" s="1"/>
  <c r="I119" i="7" s="1"/>
  <c r="J119" i="7" s="1"/>
  <c r="K119" i="7" s="1"/>
  <c r="L119" i="7" s="1"/>
  <c r="M119" i="7" s="1"/>
  <c r="F119" i="7"/>
  <c r="E119" i="7"/>
  <c r="D119" i="7"/>
  <c r="K118" i="7"/>
  <c r="L118" i="7" s="1"/>
  <c r="M118" i="7" s="1"/>
  <c r="N118" i="7" s="1"/>
  <c r="O118" i="7" s="1"/>
  <c r="P118" i="7" s="1"/>
  <c r="G118" i="7"/>
  <c r="H118" i="7" s="1"/>
  <c r="I118" i="7" s="1"/>
  <c r="J118" i="7" s="1"/>
  <c r="F118" i="7"/>
  <c r="E118" i="7"/>
  <c r="D118" i="7"/>
  <c r="F117" i="7"/>
  <c r="G117" i="7" s="1"/>
  <c r="H117" i="7" s="1"/>
  <c r="I117" i="7" s="1"/>
  <c r="J117" i="7" s="1"/>
  <c r="K117" i="7" s="1"/>
  <c r="L117" i="7" s="1"/>
  <c r="M117" i="7" s="1"/>
  <c r="N117" i="7" s="1"/>
  <c r="O117" i="7" s="1"/>
  <c r="P117" i="7" s="1"/>
  <c r="E117" i="7"/>
  <c r="D117" i="7"/>
  <c r="F116" i="7"/>
  <c r="E116" i="7"/>
  <c r="D116" i="7"/>
  <c r="F115" i="7"/>
  <c r="G115" i="7" s="1"/>
  <c r="H115" i="7" s="1"/>
  <c r="I115" i="7" s="1"/>
  <c r="J115" i="7" s="1"/>
  <c r="K115" i="7" s="1"/>
  <c r="L115" i="7" s="1"/>
  <c r="M115" i="7" s="1"/>
  <c r="N115" i="7" s="1"/>
  <c r="O115" i="7" s="1"/>
  <c r="P115" i="7" s="1"/>
  <c r="E115" i="7"/>
  <c r="D115" i="7"/>
  <c r="O114" i="7"/>
  <c r="P114" i="7" s="1"/>
  <c r="G114" i="7"/>
  <c r="H114" i="7" s="1"/>
  <c r="I114" i="7" s="1"/>
  <c r="J114" i="7" s="1"/>
  <c r="K114" i="7" s="1"/>
  <c r="L114" i="7" s="1"/>
  <c r="M114" i="7" s="1"/>
  <c r="N114" i="7" s="1"/>
  <c r="F114" i="7"/>
  <c r="E114" i="7"/>
  <c r="D114" i="7"/>
  <c r="E112" i="7"/>
  <c r="F111" i="7"/>
  <c r="E111" i="7"/>
  <c r="D111" i="7"/>
  <c r="F110" i="7"/>
  <c r="E110" i="7"/>
  <c r="E164" i="7" s="1"/>
  <c r="D110" i="7"/>
  <c r="D164" i="7" s="1"/>
  <c r="F109" i="7"/>
  <c r="F146" i="7" s="1"/>
  <c r="E109" i="7"/>
  <c r="E163" i="7" s="1"/>
  <c r="D109" i="7"/>
  <c r="F108" i="7"/>
  <c r="E108" i="7"/>
  <c r="D108" i="7"/>
  <c r="D145" i="7" s="1"/>
  <c r="F107" i="7"/>
  <c r="E107" i="7"/>
  <c r="D107" i="7"/>
  <c r="D161" i="7" s="1"/>
  <c r="F106" i="7"/>
  <c r="F143" i="7" s="1"/>
  <c r="E106" i="7"/>
  <c r="E143" i="7" s="1"/>
  <c r="D106" i="7"/>
  <c r="D160" i="7" s="1"/>
  <c r="F105" i="7"/>
  <c r="F159" i="7" s="1"/>
  <c r="E105" i="7"/>
  <c r="E159" i="7" s="1"/>
  <c r="D105" i="7"/>
  <c r="D142" i="7" s="1"/>
  <c r="F104" i="7"/>
  <c r="F158" i="7" s="1"/>
  <c r="E104" i="7"/>
  <c r="D104" i="7"/>
  <c r="F103" i="7"/>
  <c r="E103" i="7"/>
  <c r="D103" i="7"/>
  <c r="F102" i="7"/>
  <c r="E102" i="7"/>
  <c r="E156" i="7" s="1"/>
  <c r="D102" i="7"/>
  <c r="D156" i="7" s="1"/>
  <c r="F101" i="7"/>
  <c r="E101" i="7"/>
  <c r="E155" i="7" s="1"/>
  <c r="D101" i="7"/>
  <c r="H99" i="7"/>
  <c r="H136" i="7" s="1"/>
  <c r="F99" i="7"/>
  <c r="G99" i="7" s="1"/>
  <c r="G136" i="7" s="1"/>
  <c r="E99" i="7"/>
  <c r="E136" i="7" s="1"/>
  <c r="D99" i="7"/>
  <c r="D136" i="7" s="1"/>
  <c r="F98" i="7"/>
  <c r="E98" i="7"/>
  <c r="E135" i="7" s="1"/>
  <c r="E147" i="7" s="1"/>
  <c r="D98" i="7"/>
  <c r="F97" i="7"/>
  <c r="F134" i="7" s="1"/>
  <c r="E97" i="7"/>
  <c r="E134" i="7" s="1"/>
  <c r="D97" i="7"/>
  <c r="D134" i="7" s="1"/>
  <c r="H96" i="7"/>
  <c r="G96" i="7"/>
  <c r="G133" i="7" s="1"/>
  <c r="F96" i="7"/>
  <c r="E96" i="7"/>
  <c r="D96" i="7"/>
  <c r="D133" i="7" s="1"/>
  <c r="F95" i="7"/>
  <c r="F132" i="7" s="1"/>
  <c r="E95" i="7"/>
  <c r="E132" i="7" s="1"/>
  <c r="D95" i="7"/>
  <c r="D132" i="7" s="1"/>
  <c r="F94" i="7"/>
  <c r="F131" i="7" s="1"/>
  <c r="E94" i="7"/>
  <c r="E131" i="7" s="1"/>
  <c r="D94" i="7"/>
  <c r="D131" i="7" s="1"/>
  <c r="F93" i="7"/>
  <c r="F130" i="7" s="1"/>
  <c r="F142" i="7" s="1"/>
  <c r="E93" i="7"/>
  <c r="D93" i="7"/>
  <c r="F92" i="7"/>
  <c r="F129" i="7" s="1"/>
  <c r="E92" i="7"/>
  <c r="E129" i="7" s="1"/>
  <c r="D92" i="7"/>
  <c r="D129" i="7" s="1"/>
  <c r="H91" i="7"/>
  <c r="F91" i="7"/>
  <c r="G91" i="7" s="1"/>
  <c r="E91" i="7"/>
  <c r="D91" i="7"/>
  <c r="D128" i="7" s="1"/>
  <c r="F90" i="7"/>
  <c r="E90" i="7"/>
  <c r="E127" i="7" s="1"/>
  <c r="D90" i="7"/>
  <c r="F89" i="7"/>
  <c r="F126" i="7" s="1"/>
  <c r="E89" i="7"/>
  <c r="E126" i="7" s="1"/>
  <c r="D89" i="7"/>
  <c r="D126" i="7" s="1"/>
  <c r="F86" i="7"/>
  <c r="F48" i="15" s="1"/>
  <c r="E86" i="7"/>
  <c r="E48" i="15" s="1"/>
  <c r="D86" i="7"/>
  <c r="D48" i="15" s="1"/>
  <c r="F85" i="7"/>
  <c r="F47" i="15" s="1"/>
  <c r="E85" i="7"/>
  <c r="E47" i="15" s="1"/>
  <c r="D85" i="7"/>
  <c r="D47" i="15" s="1"/>
  <c r="G84" i="7"/>
  <c r="F84" i="7"/>
  <c r="F46" i="15" s="1"/>
  <c r="E84" i="7"/>
  <c r="E46" i="15" s="1"/>
  <c r="D84" i="7"/>
  <c r="F83" i="7"/>
  <c r="F45" i="15" s="1"/>
  <c r="E83" i="7"/>
  <c r="E45" i="15" s="1"/>
  <c r="D83" i="7"/>
  <c r="D45" i="15" s="1"/>
  <c r="I82" i="7"/>
  <c r="H82" i="7"/>
  <c r="H44" i="15" s="1"/>
  <c r="G82" i="7"/>
  <c r="G44" i="15" s="1"/>
  <c r="F82" i="7"/>
  <c r="F44" i="15" s="1"/>
  <c r="E82" i="7"/>
  <c r="E44" i="15" s="1"/>
  <c r="D82" i="7"/>
  <c r="D44" i="15" s="1"/>
  <c r="F81" i="7"/>
  <c r="E81" i="7"/>
  <c r="E43" i="15" s="1"/>
  <c r="D81" i="7"/>
  <c r="D43" i="15" s="1"/>
  <c r="G80" i="7"/>
  <c r="G42" i="15" s="1"/>
  <c r="F80" i="7"/>
  <c r="F42" i="15" s="1"/>
  <c r="E80" i="7"/>
  <c r="E42" i="15" s="1"/>
  <c r="D80" i="7"/>
  <c r="D42" i="15" s="1"/>
  <c r="G79" i="7"/>
  <c r="F79" i="7"/>
  <c r="F41" i="15" s="1"/>
  <c r="E79" i="7"/>
  <c r="E41" i="15" s="1"/>
  <c r="D79" i="7"/>
  <c r="D41" i="15" s="1"/>
  <c r="F78" i="7"/>
  <c r="F40" i="15" s="1"/>
  <c r="E78" i="7"/>
  <c r="D78" i="7"/>
  <c r="F77" i="7"/>
  <c r="F39" i="15" s="1"/>
  <c r="E77" i="7"/>
  <c r="E39" i="15" s="1"/>
  <c r="D77" i="7"/>
  <c r="D39" i="15" s="1"/>
  <c r="G76" i="7"/>
  <c r="F76" i="7"/>
  <c r="E76" i="7"/>
  <c r="E38" i="15" s="1"/>
  <c r="D76" i="7"/>
  <c r="D38" i="15" s="1"/>
  <c r="L74" i="7"/>
  <c r="M74" i="7" s="1"/>
  <c r="N74" i="7" s="1"/>
  <c r="O74" i="7" s="1"/>
  <c r="P74" i="7" s="1"/>
  <c r="K74" i="7"/>
  <c r="E74" i="7"/>
  <c r="F74" i="7" s="1"/>
  <c r="G74" i="7" s="1"/>
  <c r="H74" i="7" s="1"/>
  <c r="I74" i="7" s="1"/>
  <c r="J74" i="7" s="1"/>
  <c r="P73" i="7"/>
  <c r="O73" i="7"/>
  <c r="H73" i="7"/>
  <c r="I73" i="7" s="1"/>
  <c r="J73" i="7" s="1"/>
  <c r="K73" i="7" s="1"/>
  <c r="L73" i="7" s="1"/>
  <c r="M73" i="7" s="1"/>
  <c r="N73" i="7" s="1"/>
  <c r="D64" i="7"/>
  <c r="G109" i="7" s="1"/>
  <c r="G163" i="7" s="1"/>
  <c r="F36" i="7"/>
  <c r="E36" i="7"/>
  <c r="D36" i="7"/>
  <c r="F23" i="7"/>
  <c r="E23" i="7"/>
  <c r="D23" i="7"/>
  <c r="E198" i="6"/>
  <c r="D198" i="6"/>
  <c r="F193" i="6"/>
  <c r="E193" i="6"/>
  <c r="F188" i="6"/>
  <c r="J183" i="6"/>
  <c r="K183" i="6" s="1"/>
  <c r="L183" i="6" s="1"/>
  <c r="M183" i="6" s="1"/>
  <c r="N183" i="6" s="1"/>
  <c r="O183" i="6" s="1"/>
  <c r="P183" i="6" s="1"/>
  <c r="D183" i="6"/>
  <c r="E183" i="6" s="1"/>
  <c r="F183" i="6" s="1"/>
  <c r="G183" i="6" s="1"/>
  <c r="H183" i="6" s="1"/>
  <c r="I183" i="6" s="1"/>
  <c r="D150" i="6"/>
  <c r="F148" i="6"/>
  <c r="G148" i="6" s="1"/>
  <c r="H148" i="6" s="1"/>
  <c r="I148" i="6" s="1"/>
  <c r="J148" i="6" s="1"/>
  <c r="K148" i="6" s="1"/>
  <c r="L148" i="6" s="1"/>
  <c r="M148" i="6" s="1"/>
  <c r="N148" i="6" s="1"/>
  <c r="O148" i="6" s="1"/>
  <c r="P148" i="6" s="1"/>
  <c r="E148" i="6"/>
  <c r="E163" i="6" s="1"/>
  <c r="D148" i="6"/>
  <c r="F147" i="6"/>
  <c r="G147" i="6" s="1"/>
  <c r="H147" i="6" s="1"/>
  <c r="I147" i="6" s="1"/>
  <c r="J147" i="6" s="1"/>
  <c r="K147" i="6" s="1"/>
  <c r="L147" i="6" s="1"/>
  <c r="M147" i="6" s="1"/>
  <c r="N147" i="6" s="1"/>
  <c r="O147" i="6" s="1"/>
  <c r="P147" i="6" s="1"/>
  <c r="E147" i="6"/>
  <c r="D147" i="6"/>
  <c r="G146" i="6"/>
  <c r="H146" i="6" s="1"/>
  <c r="I146" i="6" s="1"/>
  <c r="J146" i="6" s="1"/>
  <c r="K146" i="6" s="1"/>
  <c r="L146" i="6" s="1"/>
  <c r="M146" i="6" s="1"/>
  <c r="N146" i="6" s="1"/>
  <c r="O146" i="6" s="1"/>
  <c r="P146" i="6" s="1"/>
  <c r="F146" i="6"/>
  <c r="E146" i="6"/>
  <c r="D146" i="6"/>
  <c r="H145" i="6"/>
  <c r="I145" i="6" s="1"/>
  <c r="J145" i="6" s="1"/>
  <c r="K145" i="6" s="1"/>
  <c r="L145" i="6" s="1"/>
  <c r="M145" i="6" s="1"/>
  <c r="N145" i="6" s="1"/>
  <c r="O145" i="6" s="1"/>
  <c r="P145" i="6" s="1"/>
  <c r="G145" i="6"/>
  <c r="F145" i="6"/>
  <c r="E145" i="6"/>
  <c r="D145" i="6"/>
  <c r="D160" i="6" s="1"/>
  <c r="G144" i="6"/>
  <c r="H144" i="6" s="1"/>
  <c r="I144" i="6" s="1"/>
  <c r="J144" i="6" s="1"/>
  <c r="K144" i="6" s="1"/>
  <c r="L144" i="6" s="1"/>
  <c r="M144" i="6" s="1"/>
  <c r="N144" i="6" s="1"/>
  <c r="O144" i="6" s="1"/>
  <c r="P144" i="6" s="1"/>
  <c r="F144" i="6"/>
  <c r="E144" i="6"/>
  <c r="D144" i="6"/>
  <c r="F143" i="6"/>
  <c r="F158" i="6" s="1"/>
  <c r="E143" i="6"/>
  <c r="D143" i="6"/>
  <c r="K142" i="6"/>
  <c r="L142" i="6" s="1"/>
  <c r="M142" i="6" s="1"/>
  <c r="N142" i="6" s="1"/>
  <c r="O142" i="6" s="1"/>
  <c r="P142" i="6" s="1"/>
  <c r="G142" i="6"/>
  <c r="H142" i="6" s="1"/>
  <c r="I142" i="6" s="1"/>
  <c r="J142" i="6" s="1"/>
  <c r="F142" i="6"/>
  <c r="E142" i="6"/>
  <c r="D142" i="6"/>
  <c r="F141" i="6"/>
  <c r="G141" i="6" s="1"/>
  <c r="H141" i="6" s="1"/>
  <c r="I141" i="6" s="1"/>
  <c r="J141" i="6" s="1"/>
  <c r="K141" i="6" s="1"/>
  <c r="L141" i="6" s="1"/>
  <c r="M141" i="6" s="1"/>
  <c r="N141" i="6" s="1"/>
  <c r="O141" i="6" s="1"/>
  <c r="P141" i="6" s="1"/>
  <c r="E141" i="6"/>
  <c r="D141" i="6"/>
  <c r="F140" i="6"/>
  <c r="G140" i="6" s="1"/>
  <c r="H140" i="6" s="1"/>
  <c r="I140" i="6" s="1"/>
  <c r="J140" i="6" s="1"/>
  <c r="K140" i="6" s="1"/>
  <c r="L140" i="6" s="1"/>
  <c r="M140" i="6" s="1"/>
  <c r="N140" i="6" s="1"/>
  <c r="O140" i="6" s="1"/>
  <c r="P140" i="6" s="1"/>
  <c r="E140" i="6"/>
  <c r="E155" i="6" s="1"/>
  <c r="D140" i="6"/>
  <c r="F139" i="6"/>
  <c r="G139" i="6" s="1"/>
  <c r="H139" i="6" s="1"/>
  <c r="I139" i="6" s="1"/>
  <c r="J139" i="6" s="1"/>
  <c r="K139" i="6" s="1"/>
  <c r="L139" i="6" s="1"/>
  <c r="M139" i="6" s="1"/>
  <c r="N139" i="6" s="1"/>
  <c r="O139" i="6" s="1"/>
  <c r="P139" i="6" s="1"/>
  <c r="E139" i="6"/>
  <c r="D139" i="6"/>
  <c r="G138" i="6"/>
  <c r="H138" i="6" s="1"/>
  <c r="I138" i="6" s="1"/>
  <c r="J138" i="6" s="1"/>
  <c r="K138" i="6" s="1"/>
  <c r="L138" i="6" s="1"/>
  <c r="M138" i="6" s="1"/>
  <c r="N138" i="6" s="1"/>
  <c r="O138" i="6" s="1"/>
  <c r="P138" i="6" s="1"/>
  <c r="F138" i="6"/>
  <c r="E138" i="6"/>
  <c r="D138" i="6"/>
  <c r="H137" i="6"/>
  <c r="I137" i="6" s="1"/>
  <c r="J137" i="6" s="1"/>
  <c r="K137" i="6" s="1"/>
  <c r="L137" i="6" s="1"/>
  <c r="M137" i="6" s="1"/>
  <c r="N137" i="6" s="1"/>
  <c r="O137" i="6" s="1"/>
  <c r="P137" i="6" s="1"/>
  <c r="G137" i="6"/>
  <c r="F137" i="6"/>
  <c r="E137" i="6"/>
  <c r="D137" i="6"/>
  <c r="G136" i="6"/>
  <c r="H136" i="6" s="1"/>
  <c r="I136" i="6" s="1"/>
  <c r="J136" i="6" s="1"/>
  <c r="K136" i="6" s="1"/>
  <c r="L136" i="6" s="1"/>
  <c r="M136" i="6" s="1"/>
  <c r="N136" i="6" s="1"/>
  <c r="O136" i="6" s="1"/>
  <c r="P136" i="6" s="1"/>
  <c r="F136" i="6"/>
  <c r="E136" i="6"/>
  <c r="D136" i="6"/>
  <c r="F135" i="6"/>
  <c r="F150" i="6" s="1"/>
  <c r="E135" i="6"/>
  <c r="D135" i="6"/>
  <c r="F132" i="6"/>
  <c r="F198" i="6" s="1"/>
  <c r="E132" i="6"/>
  <c r="D132" i="6"/>
  <c r="F131" i="6"/>
  <c r="E131" i="6"/>
  <c r="D131" i="6"/>
  <c r="F130" i="6"/>
  <c r="F196" i="6" s="1"/>
  <c r="E130" i="6"/>
  <c r="D130" i="6"/>
  <c r="G129" i="6"/>
  <c r="H129" i="6" s="1"/>
  <c r="F129" i="6"/>
  <c r="E129" i="6"/>
  <c r="E195" i="6" s="1"/>
  <c r="D129" i="6"/>
  <c r="F128" i="6"/>
  <c r="E128" i="6"/>
  <c r="D128" i="6"/>
  <c r="G127" i="6"/>
  <c r="F127" i="6"/>
  <c r="E127" i="6"/>
  <c r="D127" i="6"/>
  <c r="G126" i="6"/>
  <c r="F126" i="6"/>
  <c r="E126" i="6"/>
  <c r="D126" i="6"/>
  <c r="D192" i="6" s="1"/>
  <c r="G125" i="6"/>
  <c r="G191" i="6" s="1"/>
  <c r="F125" i="6"/>
  <c r="E125" i="6"/>
  <c r="D125" i="6"/>
  <c r="F124" i="6"/>
  <c r="F190" i="6" s="1"/>
  <c r="E124" i="6"/>
  <c r="D124" i="6"/>
  <c r="F123" i="6"/>
  <c r="E123" i="6"/>
  <c r="D123" i="6"/>
  <c r="F122" i="6"/>
  <c r="E122" i="6"/>
  <c r="D122" i="6"/>
  <c r="H121" i="6"/>
  <c r="G121" i="6"/>
  <c r="F121" i="6"/>
  <c r="E121" i="6"/>
  <c r="E187" i="6" s="1"/>
  <c r="D121" i="6"/>
  <c r="F120" i="6"/>
  <c r="E120" i="6"/>
  <c r="D120" i="6"/>
  <c r="G119" i="6"/>
  <c r="F119" i="6"/>
  <c r="E119" i="6"/>
  <c r="E133" i="6" s="1"/>
  <c r="D119" i="6"/>
  <c r="F117" i="6"/>
  <c r="F163" i="6" s="1"/>
  <c r="E117" i="6"/>
  <c r="D117" i="6"/>
  <c r="D163" i="6" s="1"/>
  <c r="G116" i="6"/>
  <c r="F116" i="6"/>
  <c r="E116" i="6"/>
  <c r="D116" i="6"/>
  <c r="D162" i="6" s="1"/>
  <c r="D177" i="6" s="1"/>
  <c r="F115" i="6"/>
  <c r="F161" i="6" s="1"/>
  <c r="E115" i="6"/>
  <c r="D115" i="6"/>
  <c r="D161" i="6" s="1"/>
  <c r="F114" i="6"/>
  <c r="E114" i="6"/>
  <c r="E160" i="6" s="1"/>
  <c r="E175" i="6" s="1"/>
  <c r="D114" i="6"/>
  <c r="F113" i="6"/>
  <c r="F159" i="6" s="1"/>
  <c r="E113" i="6"/>
  <c r="D113" i="6"/>
  <c r="H112" i="6"/>
  <c r="G112" i="6"/>
  <c r="F112" i="6"/>
  <c r="E112" i="6"/>
  <c r="E158" i="6" s="1"/>
  <c r="D112" i="6"/>
  <c r="H111" i="6"/>
  <c r="G111" i="6"/>
  <c r="F111" i="6"/>
  <c r="E111" i="6"/>
  <c r="E157" i="6" s="1"/>
  <c r="E172" i="6" s="1"/>
  <c r="D111" i="6"/>
  <c r="G110" i="6"/>
  <c r="G156" i="6" s="1"/>
  <c r="F110" i="6"/>
  <c r="E110" i="6"/>
  <c r="E156" i="6" s="1"/>
  <c r="D110" i="6"/>
  <c r="F109" i="6"/>
  <c r="F155" i="6" s="1"/>
  <c r="F170" i="6" s="1"/>
  <c r="E109" i="6"/>
  <c r="D109" i="6"/>
  <c r="D155" i="6" s="1"/>
  <c r="G108" i="6"/>
  <c r="F108" i="6"/>
  <c r="E108" i="6"/>
  <c r="D108" i="6"/>
  <c r="D154" i="6" s="1"/>
  <c r="D169" i="6" s="1"/>
  <c r="H107" i="6"/>
  <c r="F107" i="6"/>
  <c r="G107" i="6" s="1"/>
  <c r="E107" i="6"/>
  <c r="D107" i="6"/>
  <c r="D153" i="6" s="1"/>
  <c r="F106" i="6"/>
  <c r="E106" i="6"/>
  <c r="E152" i="6" s="1"/>
  <c r="D106" i="6"/>
  <c r="D152" i="6" s="1"/>
  <c r="F105" i="6"/>
  <c r="F151" i="6" s="1"/>
  <c r="E105" i="6"/>
  <c r="D105" i="6"/>
  <c r="H104" i="6"/>
  <c r="I104" i="6" s="1"/>
  <c r="J104" i="6" s="1"/>
  <c r="G104" i="6"/>
  <c r="F104" i="6"/>
  <c r="E104" i="6"/>
  <c r="E150" i="6" s="1"/>
  <c r="D104" i="6"/>
  <c r="G101" i="6"/>
  <c r="F101" i="6"/>
  <c r="E101" i="6"/>
  <c r="D101" i="6"/>
  <c r="F100" i="6"/>
  <c r="E100" i="6"/>
  <c r="D100" i="6"/>
  <c r="G99" i="6"/>
  <c r="F99" i="6"/>
  <c r="E99" i="6"/>
  <c r="D99" i="6"/>
  <c r="F98" i="6"/>
  <c r="E98" i="6"/>
  <c r="D98" i="6"/>
  <c r="F97" i="6"/>
  <c r="E97" i="6"/>
  <c r="D97" i="6"/>
  <c r="F96" i="6"/>
  <c r="E96" i="6"/>
  <c r="D96" i="6"/>
  <c r="G95" i="6"/>
  <c r="F95" i="6"/>
  <c r="E95" i="6"/>
  <c r="D95" i="6"/>
  <c r="H94" i="6"/>
  <c r="G94" i="6"/>
  <c r="F94" i="6"/>
  <c r="E94" i="6"/>
  <c r="D94" i="6"/>
  <c r="G93" i="6"/>
  <c r="F93" i="6"/>
  <c r="E93" i="6"/>
  <c r="D93" i="6"/>
  <c r="F92" i="6"/>
  <c r="E92" i="6"/>
  <c r="D92" i="6"/>
  <c r="G91" i="6"/>
  <c r="F91" i="6"/>
  <c r="E91" i="6"/>
  <c r="D91" i="6"/>
  <c r="F90" i="6"/>
  <c r="E90" i="6"/>
  <c r="D90" i="6"/>
  <c r="F89" i="6"/>
  <c r="E89" i="6"/>
  <c r="E102" i="6" s="1"/>
  <c r="D89" i="6"/>
  <c r="F88" i="6"/>
  <c r="F102" i="6" s="1"/>
  <c r="E88" i="6"/>
  <c r="D88" i="6"/>
  <c r="G86" i="6"/>
  <c r="H86" i="6" s="1"/>
  <c r="I86" i="6" s="1"/>
  <c r="J86" i="6" s="1"/>
  <c r="K86" i="6" s="1"/>
  <c r="L86" i="6" s="1"/>
  <c r="M86" i="6" s="1"/>
  <c r="N86" i="6" s="1"/>
  <c r="O86" i="6" s="1"/>
  <c r="P86" i="6" s="1"/>
  <c r="E86" i="6"/>
  <c r="F86" i="6" s="1"/>
  <c r="I85" i="6"/>
  <c r="J85" i="6" s="1"/>
  <c r="K85" i="6" s="1"/>
  <c r="L85" i="6" s="1"/>
  <c r="M85" i="6" s="1"/>
  <c r="N85" i="6" s="1"/>
  <c r="O85" i="6" s="1"/>
  <c r="P85" i="6" s="1"/>
  <c r="H85" i="6"/>
  <c r="D83" i="6"/>
  <c r="D77" i="6"/>
  <c r="G128" i="6" s="1"/>
  <c r="F42" i="6"/>
  <c r="E42" i="6"/>
  <c r="D42" i="6"/>
  <c r="F26" i="6"/>
  <c r="E26" i="6"/>
  <c r="D26" i="6"/>
  <c r="F156" i="5"/>
  <c r="D155" i="5"/>
  <c r="F153" i="5"/>
  <c r="E153" i="5"/>
  <c r="F152" i="5"/>
  <c r="D150" i="5"/>
  <c r="E149" i="5"/>
  <c r="F148" i="5"/>
  <c r="D146" i="5"/>
  <c r="E146" i="5" s="1"/>
  <c r="F146" i="5" s="1"/>
  <c r="G146" i="5" s="1"/>
  <c r="H146" i="5" s="1"/>
  <c r="I146" i="5" s="1"/>
  <c r="J146" i="5" s="1"/>
  <c r="K146" i="5" s="1"/>
  <c r="L146" i="5" s="1"/>
  <c r="M146" i="5" s="1"/>
  <c r="N146" i="5" s="1"/>
  <c r="O146" i="5" s="1"/>
  <c r="P146" i="5" s="1"/>
  <c r="E139" i="5"/>
  <c r="D137" i="5"/>
  <c r="E130" i="5"/>
  <c r="E141" i="5" s="1"/>
  <c r="F129" i="5"/>
  <c r="D128" i="5"/>
  <c r="F126" i="5"/>
  <c r="E126" i="5"/>
  <c r="F125" i="5"/>
  <c r="F136" i="5" s="1"/>
  <c r="E123" i="5"/>
  <c r="D123" i="5"/>
  <c r="F121" i="5"/>
  <c r="G118" i="5"/>
  <c r="F118" i="5"/>
  <c r="E118" i="5"/>
  <c r="D118" i="5"/>
  <c r="F117" i="5"/>
  <c r="G117" i="5" s="1"/>
  <c r="G129" i="5" s="1"/>
  <c r="E117" i="5"/>
  <c r="D117" i="5"/>
  <c r="D129" i="5" s="1"/>
  <c r="D140" i="5" s="1"/>
  <c r="I116" i="5"/>
  <c r="J116" i="5" s="1"/>
  <c r="K116" i="5" s="1"/>
  <c r="L116" i="5" s="1"/>
  <c r="M116" i="5" s="1"/>
  <c r="N116" i="5" s="1"/>
  <c r="O116" i="5" s="1"/>
  <c r="P116" i="5" s="1"/>
  <c r="F116" i="5"/>
  <c r="G116" i="5" s="1"/>
  <c r="H116" i="5" s="1"/>
  <c r="E116" i="5"/>
  <c r="D116" i="5"/>
  <c r="F115" i="5"/>
  <c r="E115" i="5"/>
  <c r="D115" i="5"/>
  <c r="G114" i="5"/>
  <c r="H114" i="5" s="1"/>
  <c r="I114" i="5" s="1"/>
  <c r="J114" i="5" s="1"/>
  <c r="K114" i="5" s="1"/>
  <c r="L114" i="5" s="1"/>
  <c r="M114" i="5" s="1"/>
  <c r="N114" i="5" s="1"/>
  <c r="O114" i="5" s="1"/>
  <c r="P114" i="5" s="1"/>
  <c r="F114" i="5"/>
  <c r="E114" i="5"/>
  <c r="D114" i="5"/>
  <c r="L113" i="5"/>
  <c r="M113" i="5" s="1"/>
  <c r="N113" i="5" s="1"/>
  <c r="O113" i="5" s="1"/>
  <c r="P113" i="5" s="1"/>
  <c r="H113" i="5"/>
  <c r="I113" i="5" s="1"/>
  <c r="J113" i="5" s="1"/>
  <c r="K113" i="5" s="1"/>
  <c r="G113" i="5"/>
  <c r="F113" i="5"/>
  <c r="E113" i="5"/>
  <c r="D113" i="5"/>
  <c r="I112" i="5"/>
  <c r="J112" i="5" s="1"/>
  <c r="K112" i="5" s="1"/>
  <c r="L112" i="5" s="1"/>
  <c r="M112" i="5" s="1"/>
  <c r="N112" i="5" s="1"/>
  <c r="O112" i="5" s="1"/>
  <c r="P112" i="5" s="1"/>
  <c r="G112" i="5"/>
  <c r="H112" i="5" s="1"/>
  <c r="F112" i="5"/>
  <c r="E112" i="5"/>
  <c r="E124" i="5" s="1"/>
  <c r="E135" i="5" s="1"/>
  <c r="D112" i="5"/>
  <c r="G111" i="5"/>
  <c r="H111" i="5" s="1"/>
  <c r="I111" i="5" s="1"/>
  <c r="J111" i="5" s="1"/>
  <c r="K111" i="5" s="1"/>
  <c r="L111" i="5" s="1"/>
  <c r="M111" i="5" s="1"/>
  <c r="N111" i="5" s="1"/>
  <c r="O111" i="5" s="1"/>
  <c r="P111" i="5" s="1"/>
  <c r="F111" i="5"/>
  <c r="E111" i="5"/>
  <c r="D111" i="5"/>
  <c r="G110" i="5"/>
  <c r="F110" i="5"/>
  <c r="E110" i="5"/>
  <c r="D110" i="5"/>
  <c r="F109" i="5"/>
  <c r="G109" i="5" s="1"/>
  <c r="H109" i="5" s="1"/>
  <c r="I109" i="5" s="1"/>
  <c r="J109" i="5" s="1"/>
  <c r="K109" i="5" s="1"/>
  <c r="L109" i="5" s="1"/>
  <c r="M109" i="5" s="1"/>
  <c r="N109" i="5" s="1"/>
  <c r="O109" i="5" s="1"/>
  <c r="P109" i="5" s="1"/>
  <c r="E109" i="5"/>
  <c r="D109" i="5"/>
  <c r="D121" i="5" s="1"/>
  <c r="D132" i="5" s="1"/>
  <c r="F106" i="5"/>
  <c r="E106" i="5"/>
  <c r="D106" i="5"/>
  <c r="H105" i="5"/>
  <c r="G105" i="5"/>
  <c r="F105" i="5"/>
  <c r="F140" i="5" s="1"/>
  <c r="E105" i="5"/>
  <c r="D105" i="5"/>
  <c r="F104" i="5"/>
  <c r="E104" i="5"/>
  <c r="E157" i="5" s="1"/>
  <c r="D104" i="5"/>
  <c r="F103" i="5"/>
  <c r="E103" i="5"/>
  <c r="D103" i="5"/>
  <c r="F102" i="5"/>
  <c r="E102" i="5"/>
  <c r="E155" i="5" s="1"/>
  <c r="D102" i="5"/>
  <c r="D153" i="5" s="1"/>
  <c r="G101" i="5"/>
  <c r="F101" i="5"/>
  <c r="E101" i="5"/>
  <c r="D101" i="5"/>
  <c r="F100" i="5"/>
  <c r="F151" i="5" s="1"/>
  <c r="E100" i="5"/>
  <c r="D100" i="5"/>
  <c r="F99" i="5"/>
  <c r="E99" i="5"/>
  <c r="E134" i="5" s="1"/>
  <c r="D99" i="5"/>
  <c r="F98" i="5"/>
  <c r="E98" i="5"/>
  <c r="D98" i="5"/>
  <c r="G97" i="5"/>
  <c r="H97" i="5" s="1"/>
  <c r="F97" i="5"/>
  <c r="F132" i="5" s="1"/>
  <c r="E97" i="5"/>
  <c r="E148" i="5" s="1"/>
  <c r="D97" i="5"/>
  <c r="H95" i="5"/>
  <c r="G95" i="5"/>
  <c r="F95" i="5"/>
  <c r="F130" i="5" s="1"/>
  <c r="E95" i="5"/>
  <c r="D95" i="5"/>
  <c r="D130" i="5" s="1"/>
  <c r="G94" i="5"/>
  <c r="H94" i="5" s="1"/>
  <c r="F94" i="5"/>
  <c r="E94" i="5"/>
  <c r="E129" i="5" s="1"/>
  <c r="E140" i="5" s="1"/>
  <c r="D94" i="5"/>
  <c r="F93" i="5"/>
  <c r="F128" i="5" s="1"/>
  <c r="E93" i="5"/>
  <c r="E128" i="5" s="1"/>
  <c r="D93" i="5"/>
  <c r="G92" i="5"/>
  <c r="F92" i="5"/>
  <c r="E92" i="5"/>
  <c r="E127" i="5" s="1"/>
  <c r="D92" i="5"/>
  <c r="D127" i="5" s="1"/>
  <c r="D138" i="5" s="1"/>
  <c r="F91" i="5"/>
  <c r="G91" i="5" s="1"/>
  <c r="E91" i="5"/>
  <c r="D91" i="5"/>
  <c r="D126" i="5" s="1"/>
  <c r="F90" i="5"/>
  <c r="G90" i="5" s="1"/>
  <c r="E90" i="5"/>
  <c r="E125" i="5" s="1"/>
  <c r="D90" i="5"/>
  <c r="D125" i="5" s="1"/>
  <c r="F89" i="5"/>
  <c r="E89" i="5"/>
  <c r="D89" i="5"/>
  <c r="D124" i="5" s="1"/>
  <c r="G88" i="5"/>
  <c r="F88" i="5"/>
  <c r="F123" i="5" s="1"/>
  <c r="F134" i="5" s="1"/>
  <c r="E88" i="5"/>
  <c r="D88" i="5"/>
  <c r="H87" i="5"/>
  <c r="G87" i="5"/>
  <c r="F87" i="5"/>
  <c r="F122" i="5" s="1"/>
  <c r="E87" i="5"/>
  <c r="E122" i="5" s="1"/>
  <c r="E133" i="5" s="1"/>
  <c r="D87" i="5"/>
  <c r="D122" i="5" s="1"/>
  <c r="G86" i="5"/>
  <c r="H86" i="5" s="1"/>
  <c r="F86" i="5"/>
  <c r="E86" i="5"/>
  <c r="E121" i="5" s="1"/>
  <c r="E132" i="5" s="1"/>
  <c r="D86" i="5"/>
  <c r="L83" i="5"/>
  <c r="M83" i="5" s="1"/>
  <c r="N83" i="5" s="1"/>
  <c r="O83" i="5" s="1"/>
  <c r="P83" i="5" s="1"/>
  <c r="G83" i="5"/>
  <c r="H83" i="5" s="1"/>
  <c r="I83" i="5" s="1"/>
  <c r="J83" i="5" s="1"/>
  <c r="K83" i="5" s="1"/>
  <c r="F83" i="5"/>
  <c r="E83" i="5"/>
  <c r="D83" i="5"/>
  <c r="F82" i="5"/>
  <c r="F44" i="16" s="1"/>
  <c r="E82" i="5"/>
  <c r="E44" i="16" s="1"/>
  <c r="D82" i="5"/>
  <c r="D44" i="16" s="1"/>
  <c r="F81" i="5"/>
  <c r="E81" i="5"/>
  <c r="E43" i="16" s="1"/>
  <c r="D81" i="5"/>
  <c r="D43" i="16" s="1"/>
  <c r="F80" i="5"/>
  <c r="E80" i="5"/>
  <c r="D80" i="5"/>
  <c r="H79" i="5"/>
  <c r="G79" i="5"/>
  <c r="F79" i="5"/>
  <c r="E79" i="5"/>
  <c r="D79" i="5"/>
  <c r="H78" i="5"/>
  <c r="G78" i="5"/>
  <c r="F78" i="5"/>
  <c r="E78" i="5"/>
  <c r="D78" i="5"/>
  <c r="G77" i="5"/>
  <c r="F77" i="5"/>
  <c r="E77" i="5"/>
  <c r="D77" i="5"/>
  <c r="F76" i="5"/>
  <c r="F84" i="5" s="1"/>
  <c r="E76" i="5"/>
  <c r="D76" i="5"/>
  <c r="G75" i="5"/>
  <c r="F75" i="5"/>
  <c r="E75" i="5"/>
  <c r="D75" i="5"/>
  <c r="F74" i="5"/>
  <c r="E74" i="5"/>
  <c r="D74" i="5"/>
  <c r="F72" i="5"/>
  <c r="G72" i="5" s="1"/>
  <c r="H72" i="5" s="1"/>
  <c r="I72" i="5" s="1"/>
  <c r="J72" i="5" s="1"/>
  <c r="K72" i="5" s="1"/>
  <c r="L72" i="5" s="1"/>
  <c r="M72" i="5" s="1"/>
  <c r="N72" i="5" s="1"/>
  <c r="O72" i="5" s="1"/>
  <c r="P72" i="5" s="1"/>
  <c r="E72" i="5"/>
  <c r="I71" i="5"/>
  <c r="J71" i="5" s="1"/>
  <c r="K71" i="5" s="1"/>
  <c r="L71" i="5" s="1"/>
  <c r="M71" i="5" s="1"/>
  <c r="N71" i="5" s="1"/>
  <c r="O71" i="5" s="1"/>
  <c r="P71" i="5" s="1"/>
  <c r="H71" i="5"/>
  <c r="D62" i="5"/>
  <c r="G103" i="5" s="1"/>
  <c r="H103" i="5" s="1"/>
  <c r="F36" i="5"/>
  <c r="E36" i="5"/>
  <c r="D36" i="5"/>
  <c r="F24" i="5"/>
  <c r="E24" i="5"/>
  <c r="D24" i="5"/>
  <c r="P32" i="4"/>
  <c r="O32" i="4"/>
  <c r="N32" i="4"/>
  <c r="M32" i="4"/>
  <c r="L32" i="4"/>
  <c r="K32" i="4"/>
  <c r="J32" i="4"/>
  <c r="I32" i="4"/>
  <c r="H32" i="4"/>
  <c r="G32" i="4"/>
  <c r="F32" i="4"/>
  <c r="E32" i="4"/>
  <c r="D32" i="4"/>
  <c r="Q32" i="4" s="1"/>
  <c r="F5" i="4"/>
  <c r="G5" i="4" s="1"/>
  <c r="H5" i="4" s="1"/>
  <c r="I5" i="4" s="1"/>
  <c r="J5" i="4" s="1"/>
  <c r="K5" i="4" s="1"/>
  <c r="L5" i="4" s="1"/>
  <c r="M5" i="4" s="1"/>
  <c r="N5" i="4" s="1"/>
  <c r="O5" i="4" s="1"/>
  <c r="P5" i="4" s="1"/>
  <c r="E5" i="4"/>
  <c r="F56" i="9" l="1"/>
  <c r="G56" i="9" s="1"/>
  <c r="H56" i="9" s="1"/>
  <c r="I56" i="9" s="1"/>
  <c r="J56" i="9" s="1"/>
  <c r="K56" i="9" s="1"/>
  <c r="L56" i="9" s="1"/>
  <c r="M56" i="9" s="1"/>
  <c r="N56" i="9" s="1"/>
  <c r="O56" i="9" s="1"/>
  <c r="P56" i="9" s="1"/>
  <c r="F152" i="6"/>
  <c r="F167" i="6" s="1"/>
  <c r="G106" i="6"/>
  <c r="I97" i="5"/>
  <c r="F160" i="6"/>
  <c r="G114" i="6"/>
  <c r="G192" i="6"/>
  <c r="H126" i="6"/>
  <c r="I105" i="5"/>
  <c r="I129" i="6"/>
  <c r="F43" i="16"/>
  <c r="G81" i="5"/>
  <c r="F133" i="5"/>
  <c r="F149" i="5"/>
  <c r="G98" i="5"/>
  <c r="F107" i="5"/>
  <c r="F158" i="5" s="1"/>
  <c r="D40" i="16"/>
  <c r="D40" i="12"/>
  <c r="F124" i="5"/>
  <c r="F135" i="5" s="1"/>
  <c r="F142" i="5" s="1"/>
  <c r="F8" i="4" s="1"/>
  <c r="G89" i="5"/>
  <c r="E156" i="5"/>
  <c r="E138" i="5"/>
  <c r="G43" i="17"/>
  <c r="G47" i="14"/>
  <c r="H95" i="6"/>
  <c r="F175" i="6"/>
  <c r="G41" i="15"/>
  <c r="H79" i="7"/>
  <c r="G125" i="5"/>
  <c r="H90" i="5"/>
  <c r="D107" i="5"/>
  <c r="D133" i="5"/>
  <c r="D142" i="5" s="1"/>
  <c r="F150" i="5"/>
  <c r="G99" i="5"/>
  <c r="F141" i="5"/>
  <c r="G106" i="5"/>
  <c r="G121" i="5"/>
  <c r="D42" i="17"/>
  <c r="D46" i="14"/>
  <c r="D102" i="6"/>
  <c r="K104" i="6"/>
  <c r="H153" i="6"/>
  <c r="I112" i="6"/>
  <c r="E199" i="6"/>
  <c r="F189" i="6"/>
  <c r="G123" i="6"/>
  <c r="I150" i="6"/>
  <c r="H133" i="7"/>
  <c r="I96" i="7"/>
  <c r="G163" i="8"/>
  <c r="H115" i="8"/>
  <c r="D185" i="8"/>
  <c r="G37" i="16"/>
  <c r="G37" i="12"/>
  <c r="H75" i="5"/>
  <c r="F157" i="5"/>
  <c r="G140" i="5"/>
  <c r="E42" i="17"/>
  <c r="E46" i="14"/>
  <c r="E198" i="14"/>
  <c r="I107" i="6"/>
  <c r="F133" i="6"/>
  <c r="F199" i="6" s="1"/>
  <c r="D191" i="6"/>
  <c r="F192" i="6"/>
  <c r="H126" i="8"/>
  <c r="G174" i="8"/>
  <c r="E205" i="8"/>
  <c r="E185" i="8"/>
  <c r="D154" i="5"/>
  <c r="D152" i="5"/>
  <c r="H121" i="5"/>
  <c r="H132" i="5" s="1"/>
  <c r="F155" i="5"/>
  <c r="F137" i="5"/>
  <c r="G156" i="5"/>
  <c r="E37" i="17"/>
  <c r="E41" i="14"/>
  <c r="E45" i="17"/>
  <c r="E49" i="14"/>
  <c r="G109" i="6"/>
  <c r="G117" i="6"/>
  <c r="E194" i="6"/>
  <c r="D40" i="15"/>
  <c r="D157" i="7"/>
  <c r="I99" i="7"/>
  <c r="G123" i="5"/>
  <c r="G132" i="5"/>
  <c r="G107" i="5"/>
  <c r="H135" i="8"/>
  <c r="I156" i="8"/>
  <c r="H172" i="8"/>
  <c r="E39" i="12"/>
  <c r="E128" i="12"/>
  <c r="E151" i="5"/>
  <c r="F131" i="12"/>
  <c r="F42" i="12"/>
  <c r="G80" i="5"/>
  <c r="I87" i="5"/>
  <c r="H88" i="5"/>
  <c r="I95" i="5"/>
  <c r="D135" i="5"/>
  <c r="D151" i="5"/>
  <c r="E154" i="5"/>
  <c r="I103" i="5"/>
  <c r="E107" i="5"/>
  <c r="H117" i="5"/>
  <c r="I117" i="5" s="1"/>
  <c r="J117" i="5" s="1"/>
  <c r="K117" i="5" s="1"/>
  <c r="L117" i="5" s="1"/>
  <c r="M117" i="5" s="1"/>
  <c r="N117" i="5" s="1"/>
  <c r="O117" i="5" s="1"/>
  <c r="P117" i="5" s="1"/>
  <c r="D37" i="16"/>
  <c r="D37" i="12"/>
  <c r="G41" i="12"/>
  <c r="I86" i="5"/>
  <c r="G93" i="5"/>
  <c r="I94" i="5"/>
  <c r="G102" i="5"/>
  <c r="E150" i="5"/>
  <c r="F37" i="17"/>
  <c r="F69" i="17" s="1"/>
  <c r="F41" i="14"/>
  <c r="F193" i="14"/>
  <c r="G89" i="6"/>
  <c r="F45" i="17"/>
  <c r="F49" i="14"/>
  <c r="G97" i="6"/>
  <c r="D157" i="6"/>
  <c r="D186" i="6"/>
  <c r="E197" i="6"/>
  <c r="G135" i="6"/>
  <c r="H135" i="6" s="1"/>
  <c r="I135" i="6" s="1"/>
  <c r="J135" i="6" s="1"/>
  <c r="K135" i="6" s="1"/>
  <c r="L135" i="6" s="1"/>
  <c r="M135" i="6" s="1"/>
  <c r="N135" i="6" s="1"/>
  <c r="O135" i="6" s="1"/>
  <c r="P135" i="6" s="1"/>
  <c r="G143" i="6"/>
  <c r="H143" i="6" s="1"/>
  <c r="I143" i="6" s="1"/>
  <c r="J143" i="6" s="1"/>
  <c r="K143" i="6" s="1"/>
  <c r="L143" i="6" s="1"/>
  <c r="M143" i="6" s="1"/>
  <c r="N143" i="6" s="1"/>
  <c r="O143" i="6" s="1"/>
  <c r="P143" i="6" s="1"/>
  <c r="E40" i="15"/>
  <c r="E49" i="15" s="1"/>
  <c r="E157" i="7"/>
  <c r="D182" i="8"/>
  <c r="D145" i="8"/>
  <c r="F75" i="11"/>
  <c r="E100" i="11"/>
  <c r="E40" i="16"/>
  <c r="E40" i="12"/>
  <c r="G130" i="5"/>
  <c r="H118" i="5"/>
  <c r="I118" i="5" s="1"/>
  <c r="J118" i="5" s="1"/>
  <c r="K118" i="5" s="1"/>
  <c r="L118" i="5" s="1"/>
  <c r="M118" i="5" s="1"/>
  <c r="N118" i="5" s="1"/>
  <c r="O118" i="5" s="1"/>
  <c r="P118" i="5" s="1"/>
  <c r="D136" i="5"/>
  <c r="G194" i="6"/>
  <c r="H128" i="6"/>
  <c r="D36" i="16"/>
  <c r="D36" i="12"/>
  <c r="D148" i="5"/>
  <c r="D84" i="5"/>
  <c r="F38" i="16"/>
  <c r="F38" i="12"/>
  <c r="H40" i="16"/>
  <c r="H40" i="12"/>
  <c r="I78" i="5"/>
  <c r="H41" i="12"/>
  <c r="I79" i="5"/>
  <c r="G126" i="5"/>
  <c r="G127" i="5"/>
  <c r="H92" i="5"/>
  <c r="D134" i="5"/>
  <c r="G154" i="5"/>
  <c r="G136" i="5"/>
  <c r="G152" i="5"/>
  <c r="H101" i="5"/>
  <c r="D141" i="5"/>
  <c r="G138" i="5"/>
  <c r="D39" i="17"/>
  <c r="D71" i="17" s="1"/>
  <c r="D43" i="14"/>
  <c r="F40" i="17"/>
  <c r="F72" i="17" s="1"/>
  <c r="F44" i="14"/>
  <c r="D47" i="17"/>
  <c r="D51" i="14"/>
  <c r="F48" i="17"/>
  <c r="F52" i="14"/>
  <c r="E186" i="6"/>
  <c r="I121" i="6"/>
  <c r="F197" i="6"/>
  <c r="F177" i="6"/>
  <c r="G131" i="6"/>
  <c r="E145" i="8"/>
  <c r="G122" i="5"/>
  <c r="H110" i="5"/>
  <c r="I110" i="5" s="1"/>
  <c r="J110" i="5" s="1"/>
  <c r="K110" i="5" s="1"/>
  <c r="L110" i="5" s="1"/>
  <c r="M110" i="5" s="1"/>
  <c r="N110" i="5" s="1"/>
  <c r="O110" i="5" s="1"/>
  <c r="P110" i="5" s="1"/>
  <c r="D194" i="6"/>
  <c r="D174" i="6"/>
  <c r="G76" i="5"/>
  <c r="H91" i="5"/>
  <c r="D157" i="5"/>
  <c r="D139" i="5"/>
  <c r="F127" i="5"/>
  <c r="F138" i="5" s="1"/>
  <c r="G115" i="5"/>
  <c r="H115" i="5" s="1"/>
  <c r="I115" i="5" s="1"/>
  <c r="J115" i="5" s="1"/>
  <c r="K115" i="5" s="1"/>
  <c r="L115" i="5" s="1"/>
  <c r="M115" i="5" s="1"/>
  <c r="N115" i="5" s="1"/>
  <c r="O115" i="5" s="1"/>
  <c r="P115" i="5" s="1"/>
  <c r="G92" i="6"/>
  <c r="G100" i="6"/>
  <c r="G150" i="6"/>
  <c r="G165" i="6" s="1"/>
  <c r="G153" i="6"/>
  <c r="E189" i="6"/>
  <c r="D133" i="6"/>
  <c r="D199" i="6" s="1"/>
  <c r="H150" i="6"/>
  <c r="G38" i="15"/>
  <c r="H76" i="7"/>
  <c r="G116" i="7"/>
  <c r="F128" i="7"/>
  <c r="F140" i="7" s="1"/>
  <c r="F170" i="8"/>
  <c r="G122" i="8"/>
  <c r="I138" i="8"/>
  <c r="E37" i="16"/>
  <c r="E37" i="12"/>
  <c r="F40" i="16"/>
  <c r="F40" i="12"/>
  <c r="D42" i="16"/>
  <c r="D42" i="12"/>
  <c r="E137" i="5"/>
  <c r="D36" i="17"/>
  <c r="D40" i="14"/>
  <c r="E39" i="17"/>
  <c r="E71" i="17" s="1"/>
  <c r="E43" i="14"/>
  <c r="F42" i="17"/>
  <c r="F46" i="14"/>
  <c r="D44" i="17"/>
  <c r="D48" i="14"/>
  <c r="E47" i="17"/>
  <c r="E79" i="17" s="1"/>
  <c r="E51" i="14"/>
  <c r="D151" i="6"/>
  <c r="D166" i="6" s="1"/>
  <c r="E154" i="6"/>
  <c r="E169" i="6" s="1"/>
  <c r="F157" i="6"/>
  <c r="F172" i="6" s="1"/>
  <c r="D159" i="6"/>
  <c r="E162" i="6"/>
  <c r="E177" i="6" s="1"/>
  <c r="F186" i="6"/>
  <c r="F166" i="6"/>
  <c r="D188" i="6"/>
  <c r="D168" i="6"/>
  <c r="E191" i="6"/>
  <c r="E171" i="6"/>
  <c r="F194" i="6"/>
  <c r="F174" i="6"/>
  <c r="D196" i="6"/>
  <c r="D176" i="6"/>
  <c r="E128" i="7"/>
  <c r="F135" i="7"/>
  <c r="G98" i="7"/>
  <c r="F156" i="7"/>
  <c r="E145" i="7"/>
  <c r="D148" i="7"/>
  <c r="F105" i="8"/>
  <c r="G105" i="8" s="1"/>
  <c r="H105" i="8" s="1"/>
  <c r="I105" i="8" s="1"/>
  <c r="J105" i="8" s="1"/>
  <c r="K105" i="8" s="1"/>
  <c r="L105" i="8" s="1"/>
  <c r="M105" i="8" s="1"/>
  <c r="N105" i="8" s="1"/>
  <c r="O105" i="8" s="1"/>
  <c r="P105" i="8" s="1"/>
  <c r="H166" i="8"/>
  <c r="E173" i="8"/>
  <c r="F145" i="8"/>
  <c r="F182" i="8"/>
  <c r="E188" i="8"/>
  <c r="E191" i="8"/>
  <c r="D125" i="11"/>
  <c r="D108" i="11"/>
  <c r="F37" i="16"/>
  <c r="F37" i="12"/>
  <c r="D39" i="16"/>
  <c r="D39" i="12"/>
  <c r="D128" i="12"/>
  <c r="G40" i="16"/>
  <c r="G40" i="12"/>
  <c r="E42" i="12"/>
  <c r="G104" i="5"/>
  <c r="D149" i="5"/>
  <c r="E152" i="5"/>
  <c r="E40" i="14"/>
  <c r="E192" i="14"/>
  <c r="F39" i="17"/>
  <c r="F71" i="17" s="1"/>
  <c r="F43" i="14"/>
  <c r="D41" i="17"/>
  <c r="D45" i="14"/>
  <c r="D197" i="14"/>
  <c r="G42" i="17"/>
  <c r="G46" i="14"/>
  <c r="E44" i="17"/>
  <c r="E48" i="14"/>
  <c r="F47" i="17"/>
  <c r="F51" i="14"/>
  <c r="D49" i="17"/>
  <c r="D53" i="14"/>
  <c r="E151" i="6"/>
  <c r="E166" i="6" s="1"/>
  <c r="F154" i="6"/>
  <c r="F169" i="6" s="1"/>
  <c r="D156" i="6"/>
  <c r="D171" i="6" s="1"/>
  <c r="G157" i="6"/>
  <c r="G172" i="6" s="1"/>
  <c r="E159" i="6"/>
  <c r="E174" i="6" s="1"/>
  <c r="F162" i="6"/>
  <c r="D185" i="6"/>
  <c r="D165" i="6"/>
  <c r="G120" i="6"/>
  <c r="E188" i="6"/>
  <c r="F191" i="6"/>
  <c r="D193" i="6"/>
  <c r="E196" i="6"/>
  <c r="F178" i="6"/>
  <c r="D155" i="7"/>
  <c r="D138" i="7"/>
  <c r="G102" i="7"/>
  <c r="D158" i="7"/>
  <c r="D141" i="7"/>
  <c r="G105" i="7"/>
  <c r="G108" i="7"/>
  <c r="E148" i="7"/>
  <c r="E165" i="8"/>
  <c r="E181" i="8" s="1"/>
  <c r="I166" i="8"/>
  <c r="D184" i="8"/>
  <c r="F208" i="8"/>
  <c r="F188" i="8"/>
  <c r="G140" i="8"/>
  <c r="F211" i="8"/>
  <c r="F191" i="8"/>
  <c r="D94" i="9"/>
  <c r="E73" i="9"/>
  <c r="E130" i="12"/>
  <c r="E99" i="12"/>
  <c r="E117" i="12" s="1"/>
  <c r="E69" i="12"/>
  <c r="E86" i="12" s="1"/>
  <c r="G39" i="17"/>
  <c r="G71" i="17" s="1"/>
  <c r="G43" i="14"/>
  <c r="H42" i="17"/>
  <c r="H74" i="17" s="1"/>
  <c r="H46" i="14"/>
  <c r="D46" i="17"/>
  <c r="D50" i="14"/>
  <c r="E53" i="14"/>
  <c r="G162" i="6"/>
  <c r="E165" i="6"/>
  <c r="D170" i="6"/>
  <c r="G171" i="6"/>
  <c r="E173" i="6"/>
  <c r="F176" i="6"/>
  <c r="F43" i="15"/>
  <c r="G81" i="7"/>
  <c r="I44" i="15"/>
  <c r="J82" i="7"/>
  <c r="E158" i="7"/>
  <c r="E141" i="7"/>
  <c r="F148" i="7"/>
  <c r="F111" i="8"/>
  <c r="G111" i="8" s="1"/>
  <c r="H111" i="8" s="1"/>
  <c r="I111" i="8" s="1"/>
  <c r="J111" i="8" s="1"/>
  <c r="K111" i="8" s="1"/>
  <c r="L111" i="8" s="1"/>
  <c r="M111" i="8" s="1"/>
  <c r="N111" i="8" s="1"/>
  <c r="O111" i="8" s="1"/>
  <c r="P111" i="8" s="1"/>
  <c r="F103" i="8"/>
  <c r="G103" i="8" s="1"/>
  <c r="H103" i="8" s="1"/>
  <c r="I103" i="8" s="1"/>
  <c r="J103" i="8" s="1"/>
  <c r="K103" i="8" s="1"/>
  <c r="L103" i="8" s="1"/>
  <c r="M103" i="8" s="1"/>
  <c r="N103" i="8" s="1"/>
  <c r="O103" i="8" s="1"/>
  <c r="P103" i="8" s="1"/>
  <c r="F106" i="8"/>
  <c r="G106" i="8" s="1"/>
  <c r="H106" i="8" s="1"/>
  <c r="I106" i="8" s="1"/>
  <c r="J106" i="8" s="1"/>
  <c r="K106" i="8" s="1"/>
  <c r="L106" i="8" s="1"/>
  <c r="M106" i="8" s="1"/>
  <c r="N106" i="8" s="1"/>
  <c r="O106" i="8" s="1"/>
  <c r="P106" i="8" s="1"/>
  <c r="F109" i="8"/>
  <c r="G109" i="8" s="1"/>
  <c r="H109" i="8" s="1"/>
  <c r="I109" i="8" s="1"/>
  <c r="J109" i="8" s="1"/>
  <c r="K109" i="8" s="1"/>
  <c r="L109" i="8" s="1"/>
  <c r="M109" i="8" s="1"/>
  <c r="N109" i="8" s="1"/>
  <c r="O109" i="8" s="1"/>
  <c r="P109" i="8" s="1"/>
  <c r="F101" i="8"/>
  <c r="G101" i="8" s="1"/>
  <c r="H101" i="8" s="1"/>
  <c r="I101" i="8" s="1"/>
  <c r="J101" i="8" s="1"/>
  <c r="K101" i="8" s="1"/>
  <c r="L101" i="8" s="1"/>
  <c r="M101" i="8" s="1"/>
  <c r="N101" i="8" s="1"/>
  <c r="O101" i="8" s="1"/>
  <c r="P101" i="8" s="1"/>
  <c r="F112" i="8"/>
  <c r="G112" i="8" s="1"/>
  <c r="H112" i="8" s="1"/>
  <c r="I112" i="8" s="1"/>
  <c r="J112" i="8" s="1"/>
  <c r="K112" i="8" s="1"/>
  <c r="L112" i="8" s="1"/>
  <c r="M112" i="8" s="1"/>
  <c r="N112" i="8" s="1"/>
  <c r="O112" i="8" s="1"/>
  <c r="P112" i="8" s="1"/>
  <c r="F104" i="8"/>
  <c r="G104" i="8" s="1"/>
  <c r="H104" i="8" s="1"/>
  <c r="I104" i="8" s="1"/>
  <c r="J104" i="8" s="1"/>
  <c r="K104" i="8" s="1"/>
  <c r="L104" i="8" s="1"/>
  <c r="M104" i="8" s="1"/>
  <c r="N104" i="8" s="1"/>
  <c r="O104" i="8" s="1"/>
  <c r="P104" i="8" s="1"/>
  <c r="F107" i="8"/>
  <c r="G107" i="8" s="1"/>
  <c r="H107" i="8" s="1"/>
  <c r="I107" i="8" s="1"/>
  <c r="J107" i="8" s="1"/>
  <c r="K107" i="8" s="1"/>
  <c r="L107" i="8" s="1"/>
  <c r="M107" i="8" s="1"/>
  <c r="N107" i="8" s="1"/>
  <c r="O107" i="8" s="1"/>
  <c r="P107" i="8" s="1"/>
  <c r="F99" i="8"/>
  <c r="F110" i="8"/>
  <c r="G110" i="8" s="1"/>
  <c r="H110" i="8" s="1"/>
  <c r="I110" i="8" s="1"/>
  <c r="J110" i="8" s="1"/>
  <c r="K110" i="8" s="1"/>
  <c r="L110" i="8" s="1"/>
  <c r="M110" i="8" s="1"/>
  <c r="N110" i="8" s="1"/>
  <c r="O110" i="8" s="1"/>
  <c r="P110" i="8" s="1"/>
  <c r="F102" i="8"/>
  <c r="J166" i="8"/>
  <c r="K118" i="8"/>
  <c r="F168" i="8"/>
  <c r="F184" i="8" s="1"/>
  <c r="I169" i="8"/>
  <c r="G173" i="8"/>
  <c r="H125" i="8"/>
  <c r="D210" i="8"/>
  <c r="D190" i="8"/>
  <c r="G211" i="8"/>
  <c r="H143" i="8"/>
  <c r="E139" i="10"/>
  <c r="E119" i="10"/>
  <c r="F88" i="10"/>
  <c r="D150" i="10"/>
  <c r="D130" i="10"/>
  <c r="E99" i="10"/>
  <c r="F40" i="14"/>
  <c r="D38" i="17"/>
  <c r="D70" i="17" s="1"/>
  <c r="D42" i="14"/>
  <c r="E45" i="14"/>
  <c r="F44" i="17"/>
  <c r="F48" i="14"/>
  <c r="G47" i="17"/>
  <c r="G51" i="14"/>
  <c r="G154" i="6"/>
  <c r="H157" i="6"/>
  <c r="D178" i="6"/>
  <c r="E36" i="16"/>
  <c r="E36" i="12"/>
  <c r="E43" i="12" s="1"/>
  <c r="F39" i="16"/>
  <c r="F39" i="12"/>
  <c r="D41" i="16"/>
  <c r="D41" i="12"/>
  <c r="E136" i="5"/>
  <c r="E142" i="5" s="1"/>
  <c r="E8" i="4" s="1"/>
  <c r="F139" i="5"/>
  <c r="G88" i="6"/>
  <c r="E38" i="17"/>
  <c r="E70" i="17" s="1"/>
  <c r="E42" i="14"/>
  <c r="H91" i="6"/>
  <c r="F45" i="14"/>
  <c r="I94" i="6"/>
  <c r="D43" i="17"/>
  <c r="D47" i="14"/>
  <c r="G96" i="6"/>
  <c r="E46" i="17"/>
  <c r="E50" i="14"/>
  <c r="H99" i="6"/>
  <c r="F53" i="14"/>
  <c r="G105" i="6"/>
  <c r="E153" i="6"/>
  <c r="E168" i="6" s="1"/>
  <c r="H108" i="6"/>
  <c r="F156" i="6"/>
  <c r="F171" i="6" s="1"/>
  <c r="I111" i="6"/>
  <c r="D158" i="6"/>
  <c r="D173" i="6" s="1"/>
  <c r="G113" i="6"/>
  <c r="E161" i="6"/>
  <c r="E176" i="6" s="1"/>
  <c r="H116" i="6"/>
  <c r="F165" i="6"/>
  <c r="D167" i="6"/>
  <c r="G122" i="6"/>
  <c r="E170" i="6"/>
  <c r="H125" i="6"/>
  <c r="F173" i="6"/>
  <c r="D175" i="6"/>
  <c r="G130" i="6"/>
  <c r="E178" i="6"/>
  <c r="F153" i="6"/>
  <c r="F168" i="6" s="1"/>
  <c r="D187" i="6"/>
  <c r="I91" i="7"/>
  <c r="F138" i="7"/>
  <c r="E161" i="7"/>
  <c r="E144" i="7"/>
  <c r="D105" i="8"/>
  <c r="D205" i="8" s="1"/>
  <c r="D108" i="8"/>
  <c r="D100" i="8"/>
  <c r="D200" i="8" s="1"/>
  <c r="D111" i="8"/>
  <c r="D103" i="8"/>
  <c r="D106" i="8"/>
  <c r="D109" i="8"/>
  <c r="D101" i="8"/>
  <c r="D112" i="8"/>
  <c r="D212" i="8" s="1"/>
  <c r="D104" i="8"/>
  <c r="G117" i="8"/>
  <c r="D167" i="8"/>
  <c r="D183" i="8" s="1"/>
  <c r="G168" i="8"/>
  <c r="J121" i="8"/>
  <c r="H128" i="8"/>
  <c r="D180" i="8"/>
  <c r="G169" i="8"/>
  <c r="D105" i="9"/>
  <c r="E69" i="9"/>
  <c r="D90" i="9"/>
  <c r="F36" i="16"/>
  <c r="F36" i="12"/>
  <c r="D38" i="16"/>
  <c r="D38" i="12"/>
  <c r="G39" i="12"/>
  <c r="E41" i="16"/>
  <c r="E41" i="12"/>
  <c r="F154" i="5"/>
  <c r="D156" i="5"/>
  <c r="F38" i="17"/>
  <c r="F70" i="17" s="1"/>
  <c r="F42" i="14"/>
  <c r="D40" i="17"/>
  <c r="D72" i="17" s="1"/>
  <c r="D44" i="14"/>
  <c r="G45" i="14"/>
  <c r="E43" i="17"/>
  <c r="E47" i="14"/>
  <c r="F46" i="17"/>
  <c r="F50" i="14"/>
  <c r="D48" i="17"/>
  <c r="D52" i="14"/>
  <c r="D204" i="14"/>
  <c r="G53" i="14"/>
  <c r="E185" i="6"/>
  <c r="D190" i="6"/>
  <c r="H109" i="7"/>
  <c r="G46" i="15"/>
  <c r="H84" i="7"/>
  <c r="F127" i="7"/>
  <c r="F139" i="7" s="1"/>
  <c r="G90" i="7"/>
  <c r="D140" i="7"/>
  <c r="F161" i="7"/>
  <c r="F144" i="7"/>
  <c r="G107" i="7"/>
  <c r="F164" i="7"/>
  <c r="F147" i="7"/>
  <c r="D162" i="7"/>
  <c r="E108" i="8"/>
  <c r="E208" i="8" s="1"/>
  <c r="E100" i="8"/>
  <c r="E111" i="8"/>
  <c r="E211" i="8" s="1"/>
  <c r="E103" i="8"/>
  <c r="E203" i="8" s="1"/>
  <c r="E106" i="8"/>
  <c r="E109" i="8"/>
  <c r="E101" i="8"/>
  <c r="E112" i="8"/>
  <c r="E104" i="8"/>
  <c r="E107" i="8"/>
  <c r="E207" i="8" s="1"/>
  <c r="E99" i="8"/>
  <c r="D113" i="8"/>
  <c r="H168" i="8"/>
  <c r="I120" i="8"/>
  <c r="G171" i="8"/>
  <c r="E200" i="8"/>
  <c r="E180" i="8"/>
  <c r="E193" i="8" s="1"/>
  <c r="E183" i="8"/>
  <c r="F210" i="8"/>
  <c r="H169" i="8"/>
  <c r="G74" i="5"/>
  <c r="G148" i="5" s="1"/>
  <c r="E38" i="16"/>
  <c r="E38" i="12"/>
  <c r="H77" i="5"/>
  <c r="F41" i="12"/>
  <c r="G82" i="5"/>
  <c r="E84" i="5"/>
  <c r="G100" i="5"/>
  <c r="D37" i="17"/>
  <c r="D41" i="14"/>
  <c r="G90" i="6"/>
  <c r="E40" i="17"/>
  <c r="E72" i="17" s="1"/>
  <c r="E44" i="14"/>
  <c r="H93" i="6"/>
  <c r="F43" i="17"/>
  <c r="F47" i="14"/>
  <c r="D45" i="17"/>
  <c r="D49" i="14"/>
  <c r="G98" i="6"/>
  <c r="E48" i="17"/>
  <c r="E52" i="14"/>
  <c r="E204" i="14"/>
  <c r="H101" i="6"/>
  <c r="H110" i="6"/>
  <c r="G115" i="6"/>
  <c r="H119" i="6"/>
  <c r="F187" i="6"/>
  <c r="D189" i="6"/>
  <c r="G124" i="6"/>
  <c r="E192" i="6"/>
  <c r="H127" i="6"/>
  <c r="F195" i="6"/>
  <c r="D197" i="6"/>
  <c r="G132" i="6"/>
  <c r="E167" i="6"/>
  <c r="D172" i="6"/>
  <c r="F185" i="6"/>
  <c r="E190" i="6"/>
  <c r="D195" i="6"/>
  <c r="F38" i="15"/>
  <c r="F49" i="15" s="1"/>
  <c r="F87" i="7"/>
  <c r="G93" i="7"/>
  <c r="E140" i="7"/>
  <c r="D163" i="7"/>
  <c r="D146" i="7"/>
  <c r="G110" i="7"/>
  <c r="D112" i="7"/>
  <c r="F155" i="7"/>
  <c r="E160" i="7"/>
  <c r="D165" i="7"/>
  <c r="G187" i="8"/>
  <c r="G207" i="8"/>
  <c r="H139" i="8"/>
  <c r="D102" i="8"/>
  <c r="D202" i="8" s="1"/>
  <c r="D170" i="8"/>
  <c r="D186" i="8" s="1"/>
  <c r="H123" i="8"/>
  <c r="K124" i="8"/>
  <c r="F200" i="8"/>
  <c r="F180" i="8"/>
  <c r="G132" i="8"/>
  <c r="F203" i="8"/>
  <c r="F183" i="8"/>
  <c r="F186" i="8"/>
  <c r="F112" i="7"/>
  <c r="F166" i="7" s="1"/>
  <c r="F157" i="7"/>
  <c r="D159" i="7"/>
  <c r="E162" i="7"/>
  <c r="F165" i="7"/>
  <c r="D199" i="8"/>
  <c r="E202" i="8"/>
  <c r="D207" i="8"/>
  <c r="D187" i="8"/>
  <c r="E210" i="8"/>
  <c r="E190" i="8"/>
  <c r="E199" i="8"/>
  <c r="D108" i="9"/>
  <c r="D106" i="9"/>
  <c r="D91" i="9"/>
  <c r="E70" i="9"/>
  <c r="E119" i="11"/>
  <c r="E102" i="11"/>
  <c r="F77" i="11"/>
  <c r="G78" i="7"/>
  <c r="G86" i="7"/>
  <c r="G95" i="7"/>
  <c r="G104" i="7"/>
  <c r="F162" i="7"/>
  <c r="G119" i="8"/>
  <c r="G127" i="8"/>
  <c r="G137" i="8"/>
  <c r="E40" i="18"/>
  <c r="E112" i="13"/>
  <c r="E81" i="13"/>
  <c r="G83" i="7"/>
  <c r="G92" i="7"/>
  <c r="G101" i="7"/>
  <c r="E138" i="7"/>
  <c r="F141" i="7"/>
  <c r="D143" i="7"/>
  <c r="E146" i="7"/>
  <c r="G116" i="8"/>
  <c r="F199" i="8"/>
  <c r="D201" i="8"/>
  <c r="G134" i="8"/>
  <c r="E204" i="8"/>
  <c r="F207" i="8"/>
  <c r="D209" i="8"/>
  <c r="G142" i="8"/>
  <c r="E212" i="8"/>
  <c r="F187" i="8"/>
  <c r="D189" i="8"/>
  <c r="D204" i="8"/>
  <c r="D87" i="7"/>
  <c r="G89" i="7"/>
  <c r="G97" i="7"/>
  <c r="G106" i="7"/>
  <c r="E97" i="8"/>
  <c r="F97" i="8" s="1"/>
  <c r="G97" i="8" s="1"/>
  <c r="H97" i="8" s="1"/>
  <c r="I97" i="8" s="1"/>
  <c r="J97" i="8" s="1"/>
  <c r="K97" i="8" s="1"/>
  <c r="L97" i="8" s="1"/>
  <c r="M97" i="8" s="1"/>
  <c r="N97" i="8" s="1"/>
  <c r="O97" i="8" s="1"/>
  <c r="P97" i="8" s="1"/>
  <c r="G131" i="8"/>
  <c r="E201" i="8"/>
  <c r="F204" i="8"/>
  <c r="D206" i="8"/>
  <c r="E189" i="8"/>
  <c r="E209" i="8"/>
  <c r="F192" i="8"/>
  <c r="F212" i="8"/>
  <c r="D179" i="8"/>
  <c r="E182" i="8"/>
  <c r="F185" i="8"/>
  <c r="F190" i="8"/>
  <c r="E192" i="8"/>
  <c r="D92" i="9"/>
  <c r="D107" i="9"/>
  <c r="D109" i="9"/>
  <c r="E74" i="9"/>
  <c r="D95" i="9"/>
  <c r="D49" i="15"/>
  <c r="G77" i="7"/>
  <c r="H80" i="7"/>
  <c r="D46" i="15"/>
  <c r="D169" i="15"/>
  <c r="G85" i="7"/>
  <c r="E87" i="7"/>
  <c r="E166" i="7" s="1"/>
  <c r="G94" i="7"/>
  <c r="G103" i="7"/>
  <c r="G111" i="7"/>
  <c r="F201" i="8"/>
  <c r="D203" i="8"/>
  <c r="G136" i="8"/>
  <c r="E206" i="8"/>
  <c r="D211" i="8"/>
  <c r="G144" i="8"/>
  <c r="G55" i="9"/>
  <c r="E104" i="9"/>
  <c r="E89" i="9"/>
  <c r="G133" i="8"/>
  <c r="F206" i="8"/>
  <c r="D208" i="8"/>
  <c r="G141" i="8"/>
  <c r="F179" i="8"/>
  <c r="D181" i="8"/>
  <c r="E184" i="8"/>
  <c r="D72" i="9"/>
  <c r="E61" i="9"/>
  <c r="F61" i="9" s="1"/>
  <c r="G61" i="9" s="1"/>
  <c r="H61" i="9" s="1"/>
  <c r="I61" i="9" s="1"/>
  <c r="J61" i="9" s="1"/>
  <c r="K61" i="9" s="1"/>
  <c r="L61" i="9" s="1"/>
  <c r="M61" i="9" s="1"/>
  <c r="N61" i="9" s="1"/>
  <c r="O61" i="9" s="1"/>
  <c r="P61" i="9" s="1"/>
  <c r="F68" i="9"/>
  <c r="D103" i="9"/>
  <c r="D88" i="9"/>
  <c r="D89" i="9"/>
  <c r="D104" i="9"/>
  <c r="D92" i="10"/>
  <c r="E76" i="10"/>
  <c r="F76" i="10" s="1"/>
  <c r="G76" i="10" s="1"/>
  <c r="H76" i="10" s="1"/>
  <c r="I76" i="10" s="1"/>
  <c r="J76" i="10" s="1"/>
  <c r="K76" i="10" s="1"/>
  <c r="L76" i="10" s="1"/>
  <c r="M76" i="10" s="1"/>
  <c r="N76" i="10" s="1"/>
  <c r="O76" i="10" s="1"/>
  <c r="P76" i="10" s="1"/>
  <c r="D85" i="10"/>
  <c r="D93" i="10"/>
  <c r="D124" i="11"/>
  <c r="D107" i="11"/>
  <c r="E82" i="11"/>
  <c r="E58" i="9"/>
  <c r="F58" i="9" s="1"/>
  <c r="G58" i="9" s="1"/>
  <c r="H58" i="9" s="1"/>
  <c r="I58" i="9" s="1"/>
  <c r="J58" i="9" s="1"/>
  <c r="K58" i="9" s="1"/>
  <c r="L58" i="9" s="1"/>
  <c r="M58" i="9" s="1"/>
  <c r="N58" i="9" s="1"/>
  <c r="O58" i="9" s="1"/>
  <c r="P58" i="9" s="1"/>
  <c r="E67" i="9"/>
  <c r="D141" i="10"/>
  <c r="D121" i="10"/>
  <c r="E90" i="10"/>
  <c r="D117" i="11"/>
  <c r="D100" i="11"/>
  <c r="D122" i="11"/>
  <c r="E80" i="11"/>
  <c r="D71" i="12"/>
  <c r="F126" i="12"/>
  <c r="D84" i="11"/>
  <c r="E71" i="11"/>
  <c r="F71" i="11" s="1"/>
  <c r="G71" i="11" s="1"/>
  <c r="H71" i="11" s="1"/>
  <c r="I71" i="11" s="1"/>
  <c r="J71" i="11" s="1"/>
  <c r="K71" i="11" s="1"/>
  <c r="L71" i="11" s="1"/>
  <c r="M71" i="11" s="1"/>
  <c r="N71" i="11" s="1"/>
  <c r="O71" i="11" s="1"/>
  <c r="P71" i="11" s="1"/>
  <c r="E60" i="9"/>
  <c r="F60" i="9" s="1"/>
  <c r="G60" i="9" s="1"/>
  <c r="H60" i="9" s="1"/>
  <c r="I60" i="9" s="1"/>
  <c r="J60" i="9" s="1"/>
  <c r="K60" i="9" s="1"/>
  <c r="L60" i="9" s="1"/>
  <c r="M60" i="9" s="1"/>
  <c r="N60" i="9" s="1"/>
  <c r="O60" i="9" s="1"/>
  <c r="P60" i="9" s="1"/>
  <c r="D66" i="9"/>
  <c r="D149" i="10"/>
  <c r="D129" i="10"/>
  <c r="E98" i="10"/>
  <c r="D100" i="10"/>
  <c r="D101" i="10" s="1"/>
  <c r="D152" i="10" s="1"/>
  <c r="E84" i="10"/>
  <c r="F84" i="10" s="1"/>
  <c r="G84" i="10" s="1"/>
  <c r="H84" i="10" s="1"/>
  <c r="I84" i="10" s="1"/>
  <c r="J84" i="10" s="1"/>
  <c r="K84" i="10" s="1"/>
  <c r="L84" i="10" s="1"/>
  <c r="M84" i="10" s="1"/>
  <c r="N84" i="10" s="1"/>
  <c r="O84" i="10" s="1"/>
  <c r="P84" i="10" s="1"/>
  <c r="E91" i="10"/>
  <c r="D147" i="10"/>
  <c r="D127" i="10"/>
  <c r="F97" i="10"/>
  <c r="D120" i="10"/>
  <c r="E128" i="10"/>
  <c r="E127" i="11"/>
  <c r="E110" i="11"/>
  <c r="F85" i="11"/>
  <c r="D118" i="10"/>
  <c r="E87" i="10"/>
  <c r="E96" i="10"/>
  <c r="D125" i="10"/>
  <c r="D76" i="11"/>
  <c r="E63" i="11"/>
  <c r="F63" i="11" s="1"/>
  <c r="G63" i="11" s="1"/>
  <c r="H63" i="11" s="1"/>
  <c r="I63" i="11" s="1"/>
  <c r="J63" i="11" s="1"/>
  <c r="K63" i="11" s="1"/>
  <c r="L63" i="11" s="1"/>
  <c r="M63" i="11" s="1"/>
  <c r="N63" i="11" s="1"/>
  <c r="O63" i="11" s="1"/>
  <c r="P63" i="11" s="1"/>
  <c r="D73" i="11"/>
  <c r="D125" i="12"/>
  <c r="E71" i="10"/>
  <c r="E36" i="17" s="1"/>
  <c r="E89" i="10"/>
  <c r="I100" i="12"/>
  <c r="I118" i="12" s="1"/>
  <c r="J61" i="12"/>
  <c r="I70" i="12"/>
  <c r="I87" i="12" s="1"/>
  <c r="D126" i="10"/>
  <c r="E95" i="10"/>
  <c r="D139" i="10"/>
  <c r="D119" i="10"/>
  <c r="E94" i="10"/>
  <c r="D122" i="10"/>
  <c r="D78" i="11"/>
  <c r="E65" i="11"/>
  <c r="F65" i="11" s="1"/>
  <c r="G65" i="11" s="1"/>
  <c r="H65" i="11" s="1"/>
  <c r="I65" i="11" s="1"/>
  <c r="J65" i="11" s="1"/>
  <c r="K65" i="11" s="1"/>
  <c r="L65" i="11" s="1"/>
  <c r="M65" i="11" s="1"/>
  <c r="N65" i="11" s="1"/>
  <c r="O65" i="11" s="1"/>
  <c r="P65" i="11" s="1"/>
  <c r="E42" i="18"/>
  <c r="F68" i="11"/>
  <c r="D119" i="11"/>
  <c r="D102" i="11"/>
  <c r="D127" i="11"/>
  <c r="D110" i="11"/>
  <c r="F130" i="12"/>
  <c r="F99" i="12"/>
  <c r="F117" i="12" s="1"/>
  <c r="G60" i="12"/>
  <c r="E65" i="13"/>
  <c r="E111" i="13" s="1"/>
  <c r="E63" i="13"/>
  <c r="E66" i="13"/>
  <c r="E64" i="13"/>
  <c r="E110" i="13" s="1"/>
  <c r="E62" i="13"/>
  <c r="E67" i="13" s="1"/>
  <c r="F112" i="12"/>
  <c r="D132" i="12"/>
  <c r="E118" i="12"/>
  <c r="F62" i="13"/>
  <c r="F63" i="13"/>
  <c r="F66" i="13"/>
  <c r="G66" i="13" s="1"/>
  <c r="H66" i="13" s="1"/>
  <c r="I66" i="13" s="1"/>
  <c r="J66" i="13" s="1"/>
  <c r="K66" i="13" s="1"/>
  <c r="L66" i="13" s="1"/>
  <c r="M66" i="13" s="1"/>
  <c r="N66" i="13" s="1"/>
  <c r="O66" i="13" s="1"/>
  <c r="P66" i="13" s="1"/>
  <c r="F65" i="13"/>
  <c r="G65" i="13" s="1"/>
  <c r="H65" i="13" s="1"/>
  <c r="I65" i="13" s="1"/>
  <c r="J65" i="13" s="1"/>
  <c r="K65" i="13" s="1"/>
  <c r="L65" i="13" s="1"/>
  <c r="M65" i="13" s="1"/>
  <c r="N65" i="13" s="1"/>
  <c r="O65" i="13" s="1"/>
  <c r="P65" i="13" s="1"/>
  <c r="D121" i="11"/>
  <c r="H66" i="12"/>
  <c r="H83" i="12" s="1"/>
  <c r="D83" i="12"/>
  <c r="D88" i="12" s="1"/>
  <c r="F118" i="12"/>
  <c r="F64" i="13"/>
  <c r="G64" i="13" s="1"/>
  <c r="H64" i="13" s="1"/>
  <c r="I64" i="13" s="1"/>
  <c r="J64" i="13" s="1"/>
  <c r="K64" i="13" s="1"/>
  <c r="L64" i="13" s="1"/>
  <c r="M64" i="13" s="1"/>
  <c r="N64" i="13" s="1"/>
  <c r="O64" i="13" s="1"/>
  <c r="P64" i="13" s="1"/>
  <c r="E62" i="11"/>
  <c r="E117" i="11" s="1"/>
  <c r="E70" i="11"/>
  <c r="F70" i="11" s="1"/>
  <c r="G70" i="11" s="1"/>
  <c r="H70" i="11" s="1"/>
  <c r="I70" i="11" s="1"/>
  <c r="J70" i="11" s="1"/>
  <c r="K70" i="11" s="1"/>
  <c r="L70" i="11" s="1"/>
  <c r="M70" i="11" s="1"/>
  <c r="N70" i="11" s="1"/>
  <c r="O70" i="11" s="1"/>
  <c r="P70" i="11" s="1"/>
  <c r="E79" i="11"/>
  <c r="G68" i="12"/>
  <c r="G85" i="12" s="1"/>
  <c r="E83" i="12"/>
  <c r="D112" i="12"/>
  <c r="F94" i="13"/>
  <c r="F101" i="13" s="1"/>
  <c r="G73" i="13"/>
  <c r="D81" i="11"/>
  <c r="F127" i="12"/>
  <c r="F96" i="12"/>
  <c r="F114" i="12" s="1"/>
  <c r="F66" i="12"/>
  <c r="F83" i="12" s="1"/>
  <c r="E131" i="12"/>
  <c r="F81" i="12"/>
  <c r="K69" i="13"/>
  <c r="D46" i="18"/>
  <c r="E81" i="12"/>
  <c r="E88" i="12" s="1"/>
  <c r="E20" i="4" s="1"/>
  <c r="E71" i="12"/>
  <c r="D126" i="12"/>
  <c r="D95" i="12"/>
  <c r="D113" i="12" s="1"/>
  <c r="G96" i="12"/>
  <c r="G114" i="12" s="1"/>
  <c r="H55" i="12"/>
  <c r="G131" i="12"/>
  <c r="G100" i="12"/>
  <c r="G118" i="12" s="1"/>
  <c r="F69" i="12"/>
  <c r="F86" i="12" s="1"/>
  <c r="D115" i="12"/>
  <c r="H100" i="12"/>
  <c r="H118" i="12" s="1"/>
  <c r="E115" i="12"/>
  <c r="D196" i="14"/>
  <c r="E126" i="12"/>
  <c r="D129" i="12"/>
  <c r="E62" i="12"/>
  <c r="E132" i="12" s="1"/>
  <c r="D68" i="12"/>
  <c r="D85" i="12" s="1"/>
  <c r="D38" i="18"/>
  <c r="D99" i="13"/>
  <c r="E100" i="13"/>
  <c r="E196" i="14"/>
  <c r="E200" i="14"/>
  <c r="E148" i="14"/>
  <c r="E180" i="14" s="1"/>
  <c r="F62" i="12"/>
  <c r="F132" i="12" s="1"/>
  <c r="G46" i="18"/>
  <c r="H86" i="13"/>
  <c r="G92" i="13"/>
  <c r="H72" i="13"/>
  <c r="F200" i="14"/>
  <c r="F148" i="14"/>
  <c r="F180" i="14" s="1"/>
  <c r="G80" i="14"/>
  <c r="F162" i="15"/>
  <c r="F145" i="15"/>
  <c r="G54" i="12"/>
  <c r="G65" i="12" s="1"/>
  <c r="G82" i="12" s="1"/>
  <c r="F129" i="12"/>
  <c r="D131" i="12"/>
  <c r="I71" i="13"/>
  <c r="D37" i="18"/>
  <c r="D62" i="18" s="1"/>
  <c r="F38" i="18"/>
  <c r="F99" i="13"/>
  <c r="G100" i="13"/>
  <c r="E168" i="15"/>
  <c r="E151" i="15"/>
  <c r="E125" i="12"/>
  <c r="F128" i="12"/>
  <c r="G59" i="12"/>
  <c r="D98" i="12"/>
  <c r="D116" i="12" s="1"/>
  <c r="E101" i="12"/>
  <c r="E129" i="12"/>
  <c r="G78" i="13"/>
  <c r="F120" i="14"/>
  <c r="F125" i="12"/>
  <c r="D127" i="12"/>
  <c r="G56" i="12"/>
  <c r="F98" i="13"/>
  <c r="E44" i="18"/>
  <c r="G88" i="14"/>
  <c r="D195" i="14"/>
  <c r="F197" i="14"/>
  <c r="F145" i="14"/>
  <c r="F177" i="14" s="1"/>
  <c r="G77" i="14"/>
  <c r="F203" i="14"/>
  <c r="F151" i="14"/>
  <c r="F183" i="14" s="1"/>
  <c r="G83" i="14"/>
  <c r="G53" i="12"/>
  <c r="E127" i="12"/>
  <c r="D130" i="12"/>
  <c r="E95" i="12"/>
  <c r="E113" i="12" s="1"/>
  <c r="E119" i="12" s="1"/>
  <c r="F98" i="12"/>
  <c r="F116" i="12" s="1"/>
  <c r="D100" i="12"/>
  <c r="D118" i="12" s="1"/>
  <c r="D64" i="13"/>
  <c r="D110" i="13" s="1"/>
  <c r="D62" i="13"/>
  <c r="D65" i="13"/>
  <c r="D111" i="13" s="1"/>
  <c r="D63" i="13"/>
  <c r="D109" i="13" s="1"/>
  <c r="F81" i="13"/>
  <c r="G76" i="13"/>
  <c r="F97" i="13"/>
  <c r="F108" i="13"/>
  <c r="D40" i="18"/>
  <c r="D112" i="13"/>
  <c r="F44" i="18"/>
  <c r="G84" i="13"/>
  <c r="F40" i="18"/>
  <c r="D43" i="18"/>
  <c r="D68" i="18" s="1"/>
  <c r="E46" i="18"/>
  <c r="F111" i="13"/>
  <c r="G79" i="14"/>
  <c r="G82" i="14"/>
  <c r="G74" i="14"/>
  <c r="G93" i="14"/>
  <c r="G125" i="14" s="1"/>
  <c r="D194" i="14"/>
  <c r="D142" i="14"/>
  <c r="D174" i="14" s="1"/>
  <c r="F195" i="14"/>
  <c r="F143" i="14"/>
  <c r="F175" i="14" s="1"/>
  <c r="D202" i="14"/>
  <c r="D150" i="14"/>
  <c r="D182" i="14" s="1"/>
  <c r="D205" i="14"/>
  <c r="D153" i="14"/>
  <c r="D185" i="14" s="1"/>
  <c r="G198" i="14"/>
  <c r="E167" i="15"/>
  <c r="E150" i="15"/>
  <c r="G70" i="13"/>
  <c r="D39" i="18"/>
  <c r="G80" i="13"/>
  <c r="E43" i="18"/>
  <c r="F46" i="18"/>
  <c r="G111" i="13"/>
  <c r="E124" i="14"/>
  <c r="F127" i="14"/>
  <c r="G98" i="14"/>
  <c r="G130" i="14" s="1"/>
  <c r="E132" i="14"/>
  <c r="D193" i="14"/>
  <c r="E194" i="14"/>
  <c r="E142" i="14"/>
  <c r="E174" i="14" s="1"/>
  <c r="G75" i="14"/>
  <c r="E199" i="14"/>
  <c r="E205" i="14"/>
  <c r="E153" i="14"/>
  <c r="E185" i="14" s="1"/>
  <c r="E90" i="14"/>
  <c r="E122" i="14" s="1"/>
  <c r="D173" i="14"/>
  <c r="E154" i="15"/>
  <c r="E171" i="15"/>
  <c r="D36" i="18"/>
  <c r="G77" i="13"/>
  <c r="E39" i="18"/>
  <c r="F43" i="18"/>
  <c r="F68" i="18" s="1"/>
  <c r="D45" i="18"/>
  <c r="F124" i="14"/>
  <c r="D126" i="14"/>
  <c r="F132" i="14"/>
  <c r="F194" i="14"/>
  <c r="F199" i="14"/>
  <c r="D201" i="14"/>
  <c r="F202" i="14"/>
  <c r="E36" i="18"/>
  <c r="F39" i="18"/>
  <c r="D81" i="13"/>
  <c r="G83" i="13"/>
  <c r="E45" i="18"/>
  <c r="E70" i="18" s="1"/>
  <c r="E86" i="14"/>
  <c r="E206" i="14" s="1"/>
  <c r="E140" i="14"/>
  <c r="E172" i="14" s="1"/>
  <c r="E186" i="14" s="1"/>
  <c r="G73" i="14"/>
  <c r="E176" i="14"/>
  <c r="D181" i="14"/>
  <c r="G39" i="18"/>
  <c r="F45" i="18"/>
  <c r="D102" i="14"/>
  <c r="G89" i="14"/>
  <c r="G121" i="14" s="1"/>
  <c r="G97" i="14"/>
  <c r="G129" i="14" s="1"/>
  <c r="F192" i="14"/>
  <c r="F86" i="14"/>
  <c r="F206" i="14" s="1"/>
  <c r="F140" i="14"/>
  <c r="F172" i="14" s="1"/>
  <c r="G81" i="14"/>
  <c r="E179" i="14"/>
  <c r="E184" i="14"/>
  <c r="E38" i="18"/>
  <c r="H79" i="13"/>
  <c r="D44" i="18"/>
  <c r="G85" i="13"/>
  <c r="E109" i="13"/>
  <c r="E120" i="14"/>
  <c r="G94" i="14"/>
  <c r="G126" i="14" s="1"/>
  <c r="E96" i="14"/>
  <c r="E128" i="14" s="1"/>
  <c r="F99" i="14"/>
  <c r="F131" i="14" s="1"/>
  <c r="G72" i="14"/>
  <c r="E197" i="14"/>
  <c r="E145" i="14"/>
  <c r="E177" i="14" s="1"/>
  <c r="H78" i="14"/>
  <c r="D203" i="14"/>
  <c r="D121" i="14"/>
  <c r="D120" i="14"/>
  <c r="F179" i="14"/>
  <c r="D102" i="15"/>
  <c r="E75" i="15"/>
  <c r="E119" i="15"/>
  <c r="D149" i="15"/>
  <c r="D166" i="15"/>
  <c r="D199" i="14"/>
  <c r="E202" i="14"/>
  <c r="F205" i="14"/>
  <c r="E89" i="14"/>
  <c r="E121" i="14" s="1"/>
  <c r="E97" i="14"/>
  <c r="E129" i="14" s="1"/>
  <c r="E77" i="15"/>
  <c r="D82" i="15"/>
  <c r="D107" i="15" s="1"/>
  <c r="F119" i="15"/>
  <c r="G64" i="15"/>
  <c r="H65" i="15"/>
  <c r="H78" i="15" s="1"/>
  <c r="H103" i="15" s="1"/>
  <c r="E149" i="15"/>
  <c r="E166" i="15"/>
  <c r="F150" i="15"/>
  <c r="F167" i="15"/>
  <c r="F168" i="15"/>
  <c r="F151" i="15"/>
  <c r="D170" i="15"/>
  <c r="D153" i="15"/>
  <c r="F171" i="15"/>
  <c r="F154" i="15"/>
  <c r="G85" i="14"/>
  <c r="F141" i="14"/>
  <c r="F173" i="14" s="1"/>
  <c r="D143" i="14"/>
  <c r="D175" i="14" s="1"/>
  <c r="F149" i="14"/>
  <c r="F181" i="14" s="1"/>
  <c r="D151" i="14"/>
  <c r="D183" i="14" s="1"/>
  <c r="F201" i="14"/>
  <c r="F77" i="15"/>
  <c r="G80" i="15"/>
  <c r="G105" i="15" s="1"/>
  <c r="E82" i="15"/>
  <c r="E107" i="15" s="1"/>
  <c r="D165" i="15"/>
  <c r="F149" i="15"/>
  <c r="F166" i="15"/>
  <c r="G150" i="15"/>
  <c r="G167" i="15"/>
  <c r="E170" i="15"/>
  <c r="E153" i="15"/>
  <c r="D148" i="15"/>
  <c r="G145" i="15"/>
  <c r="G162" i="15"/>
  <c r="G77" i="15"/>
  <c r="E165" i="15"/>
  <c r="E148" i="15"/>
  <c r="G124" i="15"/>
  <c r="H69" i="15"/>
  <c r="H125" i="15"/>
  <c r="I70" i="15"/>
  <c r="G153" i="15"/>
  <c r="G170" i="15"/>
  <c r="D164" i="15"/>
  <c r="D147" i="15"/>
  <c r="E193" i="14"/>
  <c r="F196" i="14"/>
  <c r="D198" i="14"/>
  <c r="E201" i="14"/>
  <c r="F152" i="14"/>
  <c r="F184" i="14" s="1"/>
  <c r="F204" i="14"/>
  <c r="D86" i="14"/>
  <c r="D206" i="14" s="1"/>
  <c r="E84" i="15"/>
  <c r="E109" i="15" s="1"/>
  <c r="F165" i="15"/>
  <c r="F148" i="15"/>
  <c r="H73" i="15"/>
  <c r="H86" i="15" s="1"/>
  <c r="H111" i="15" s="1"/>
  <c r="F75" i="15"/>
  <c r="G76" i="14"/>
  <c r="G92" i="14" s="1"/>
  <c r="G124" i="14" s="1"/>
  <c r="G84" i="14"/>
  <c r="D146" i="15"/>
  <c r="D163" i="15"/>
  <c r="F147" i="15"/>
  <c r="F164" i="15"/>
  <c r="E152" i="15"/>
  <c r="E169" i="15"/>
  <c r="F170" i="15"/>
  <c r="F153" i="15"/>
  <c r="D192" i="14"/>
  <c r="E195" i="14"/>
  <c r="F198" i="14"/>
  <c r="D200" i="14"/>
  <c r="E203" i="14"/>
  <c r="D147" i="14"/>
  <c r="E150" i="14"/>
  <c r="E182" i="14" s="1"/>
  <c r="F153" i="14"/>
  <c r="F185" i="14" s="1"/>
  <c r="D162" i="15"/>
  <c r="D145" i="15"/>
  <c r="E146" i="15"/>
  <c r="E163" i="15"/>
  <c r="G67" i="15"/>
  <c r="F127" i="15"/>
  <c r="G72" i="15"/>
  <c r="G85" i="15" s="1"/>
  <c r="G110" i="15" s="1"/>
  <c r="E162" i="15"/>
  <c r="E145" i="15"/>
  <c r="F121" i="15"/>
  <c r="G66" i="15"/>
  <c r="D167" i="15"/>
  <c r="D150" i="15"/>
  <c r="D151" i="15"/>
  <c r="D168" i="15"/>
  <c r="D154" i="15"/>
  <c r="D171" i="15"/>
  <c r="E164" i="15"/>
  <c r="D119" i="15"/>
  <c r="G74" i="15"/>
  <c r="D49" i="16"/>
  <c r="E49" i="16" s="1"/>
  <c r="F49" i="16" s="1"/>
  <c r="G49" i="16" s="1"/>
  <c r="H49" i="16" s="1"/>
  <c r="I49" i="16" s="1"/>
  <c r="J49" i="16" s="1"/>
  <c r="K49" i="16" s="1"/>
  <c r="L49" i="16" s="1"/>
  <c r="M49" i="16" s="1"/>
  <c r="N49" i="16" s="1"/>
  <c r="O49" i="16" s="1"/>
  <c r="P49" i="16" s="1"/>
  <c r="D17" i="16"/>
  <c r="G71" i="15"/>
  <c r="G68" i="15"/>
  <c r="E117" i="15"/>
  <c r="F117" i="15" s="1"/>
  <c r="G117" i="15" s="1"/>
  <c r="H117" i="15" s="1"/>
  <c r="I117" i="15" s="1"/>
  <c r="J117" i="15" s="1"/>
  <c r="K117" i="15" s="1"/>
  <c r="L117" i="15" s="1"/>
  <c r="M117" i="15" s="1"/>
  <c r="N117" i="15" s="1"/>
  <c r="O117" i="15" s="1"/>
  <c r="P117" i="15" s="1"/>
  <c r="C109" i="23"/>
  <c r="C121" i="23"/>
  <c r="E31" i="23"/>
  <c r="C51" i="23"/>
  <c r="E51" i="23" s="1"/>
  <c r="E40" i="23"/>
  <c r="G54" i="23"/>
  <c r="E54" i="23"/>
  <c r="D61" i="17"/>
  <c r="E61" i="17" s="1"/>
  <c r="F61" i="17" s="1"/>
  <c r="G61" i="17" s="1"/>
  <c r="H61" i="17" s="1"/>
  <c r="I61" i="17" s="1"/>
  <c r="J61" i="17" s="1"/>
  <c r="K61" i="17" s="1"/>
  <c r="L61" i="17" s="1"/>
  <c r="M61" i="17" s="1"/>
  <c r="N61" i="17" s="1"/>
  <c r="O61" i="17" s="1"/>
  <c r="P61" i="17" s="1"/>
  <c r="D53" i="17"/>
  <c r="E53" i="17" s="1"/>
  <c r="F53" i="17" s="1"/>
  <c r="G53" i="17" s="1"/>
  <c r="H53" i="17" s="1"/>
  <c r="I53" i="17" s="1"/>
  <c r="J53" i="17" s="1"/>
  <c r="K53" i="17" s="1"/>
  <c r="L53" i="17" s="1"/>
  <c r="M53" i="17" s="1"/>
  <c r="N53" i="17" s="1"/>
  <c r="O53" i="17" s="1"/>
  <c r="P53" i="17" s="1"/>
  <c r="D64" i="17"/>
  <c r="E64" i="17" s="1"/>
  <c r="F64" i="17" s="1"/>
  <c r="G64" i="17" s="1"/>
  <c r="H64" i="17" s="1"/>
  <c r="I64" i="17" s="1"/>
  <c r="J64" i="17" s="1"/>
  <c r="K64" i="17" s="1"/>
  <c r="L64" i="17" s="1"/>
  <c r="M64" i="17" s="1"/>
  <c r="N64" i="17" s="1"/>
  <c r="O64" i="17" s="1"/>
  <c r="P64" i="17" s="1"/>
  <c r="D59" i="17"/>
  <c r="E59" i="17" s="1"/>
  <c r="F59" i="17" s="1"/>
  <c r="G59" i="17" s="1"/>
  <c r="H59" i="17" s="1"/>
  <c r="I59" i="17" s="1"/>
  <c r="J59" i="17" s="1"/>
  <c r="K59" i="17" s="1"/>
  <c r="L59" i="17" s="1"/>
  <c r="M59" i="17" s="1"/>
  <c r="N59" i="17" s="1"/>
  <c r="O59" i="17" s="1"/>
  <c r="P59" i="17" s="1"/>
  <c r="D62" i="17"/>
  <c r="E62" i="17" s="1"/>
  <c r="F62" i="17" s="1"/>
  <c r="G62" i="17" s="1"/>
  <c r="H62" i="17" s="1"/>
  <c r="I62" i="17" s="1"/>
  <c r="J62" i="17" s="1"/>
  <c r="K62" i="17" s="1"/>
  <c r="L62" i="17" s="1"/>
  <c r="M62" i="17" s="1"/>
  <c r="N62" i="17" s="1"/>
  <c r="O62" i="17" s="1"/>
  <c r="P62" i="17" s="1"/>
  <c r="D65" i="17"/>
  <c r="E65" i="17" s="1"/>
  <c r="F65" i="17" s="1"/>
  <c r="G65" i="17" s="1"/>
  <c r="H65" i="17" s="1"/>
  <c r="I65" i="17" s="1"/>
  <c r="J65" i="17" s="1"/>
  <c r="K65" i="17" s="1"/>
  <c r="L65" i="17" s="1"/>
  <c r="M65" i="17" s="1"/>
  <c r="N65" i="17" s="1"/>
  <c r="O65" i="17" s="1"/>
  <c r="P65" i="17" s="1"/>
  <c r="D57" i="17"/>
  <c r="E57" i="17" s="1"/>
  <c r="F57" i="17" s="1"/>
  <c r="G57" i="17" s="1"/>
  <c r="H57" i="17" s="1"/>
  <c r="I57" i="17" s="1"/>
  <c r="J57" i="17" s="1"/>
  <c r="K57" i="17" s="1"/>
  <c r="L57" i="17" s="1"/>
  <c r="M57" i="17" s="1"/>
  <c r="N57" i="17" s="1"/>
  <c r="O57" i="17" s="1"/>
  <c r="P57" i="17" s="1"/>
  <c r="D60" i="17"/>
  <c r="E60" i="17" s="1"/>
  <c r="F60" i="17" s="1"/>
  <c r="G60" i="17" s="1"/>
  <c r="H60" i="17" s="1"/>
  <c r="I60" i="17" s="1"/>
  <c r="J60" i="17" s="1"/>
  <c r="K60" i="17" s="1"/>
  <c r="L60" i="17" s="1"/>
  <c r="M60" i="17" s="1"/>
  <c r="N60" i="17" s="1"/>
  <c r="O60" i="17" s="1"/>
  <c r="P60" i="17" s="1"/>
  <c r="D52" i="17"/>
  <c r="E52" i="17" s="1"/>
  <c r="F52" i="17" s="1"/>
  <c r="G52" i="17" s="1"/>
  <c r="H52" i="17" s="1"/>
  <c r="I52" i="17" s="1"/>
  <c r="J52" i="17" s="1"/>
  <c r="K52" i="17" s="1"/>
  <c r="L52" i="17" s="1"/>
  <c r="M52" i="17" s="1"/>
  <c r="N52" i="17" s="1"/>
  <c r="O52" i="17" s="1"/>
  <c r="P52" i="17" s="1"/>
  <c r="D58" i="17"/>
  <c r="E58" i="17" s="1"/>
  <c r="F58" i="17" s="1"/>
  <c r="G58" i="17" s="1"/>
  <c r="H58" i="17" s="1"/>
  <c r="I58" i="17" s="1"/>
  <c r="J58" i="17" s="1"/>
  <c r="K58" i="17" s="1"/>
  <c r="L58" i="17" s="1"/>
  <c r="M58" i="17" s="1"/>
  <c r="N58" i="17" s="1"/>
  <c r="O58" i="17" s="1"/>
  <c r="P58" i="17" s="1"/>
  <c r="D63" i="17"/>
  <c r="E63" i="17" s="1"/>
  <c r="F63" i="17" s="1"/>
  <c r="G63" i="17" s="1"/>
  <c r="H63" i="17" s="1"/>
  <c r="I63" i="17" s="1"/>
  <c r="J63" i="17" s="1"/>
  <c r="K63" i="17" s="1"/>
  <c r="L63" i="17" s="1"/>
  <c r="M63" i="17" s="1"/>
  <c r="N63" i="17" s="1"/>
  <c r="O63" i="17" s="1"/>
  <c r="P63" i="17" s="1"/>
  <c r="D59" i="18"/>
  <c r="E59" i="18" s="1"/>
  <c r="F59" i="18" s="1"/>
  <c r="G59" i="18" s="1"/>
  <c r="H59" i="18" s="1"/>
  <c r="I59" i="18" s="1"/>
  <c r="J59" i="18" s="1"/>
  <c r="K59" i="18" s="1"/>
  <c r="L59" i="18" s="1"/>
  <c r="M59" i="18" s="1"/>
  <c r="N59" i="18" s="1"/>
  <c r="O59" i="18" s="1"/>
  <c r="P59" i="18" s="1"/>
  <c r="D51" i="18"/>
  <c r="E51" i="18" s="1"/>
  <c r="F51" i="18" s="1"/>
  <c r="G51" i="18" s="1"/>
  <c r="H51" i="18" s="1"/>
  <c r="I51" i="18" s="1"/>
  <c r="J51" i="18" s="1"/>
  <c r="K51" i="18" s="1"/>
  <c r="L51" i="18" s="1"/>
  <c r="M51" i="18" s="1"/>
  <c r="N51" i="18" s="1"/>
  <c r="O51" i="18" s="1"/>
  <c r="P51" i="18" s="1"/>
  <c r="D54" i="18"/>
  <c r="E54" i="18" s="1"/>
  <c r="F54" i="18" s="1"/>
  <c r="G54" i="18" s="1"/>
  <c r="H54" i="18" s="1"/>
  <c r="I54" i="18" s="1"/>
  <c r="J54" i="18" s="1"/>
  <c r="K54" i="18" s="1"/>
  <c r="L54" i="18" s="1"/>
  <c r="M54" i="18" s="1"/>
  <c r="N54" i="18" s="1"/>
  <c r="O54" i="18" s="1"/>
  <c r="P54" i="18" s="1"/>
  <c r="D57" i="18"/>
  <c r="E57" i="18" s="1"/>
  <c r="F57" i="18" s="1"/>
  <c r="G57" i="18" s="1"/>
  <c r="H57" i="18" s="1"/>
  <c r="I57" i="18" s="1"/>
  <c r="J57" i="18" s="1"/>
  <c r="K57" i="18" s="1"/>
  <c r="L57" i="18" s="1"/>
  <c r="M57" i="18" s="1"/>
  <c r="N57" i="18" s="1"/>
  <c r="O57" i="18" s="1"/>
  <c r="P57" i="18" s="1"/>
  <c r="D49" i="18"/>
  <c r="E49" i="18" s="1"/>
  <c r="F49" i="18" s="1"/>
  <c r="G49" i="18" s="1"/>
  <c r="H49" i="18" s="1"/>
  <c r="I49" i="18" s="1"/>
  <c r="J49" i="18" s="1"/>
  <c r="K49" i="18" s="1"/>
  <c r="L49" i="18" s="1"/>
  <c r="M49" i="18" s="1"/>
  <c r="N49" i="18" s="1"/>
  <c r="O49" i="18" s="1"/>
  <c r="P49" i="18" s="1"/>
  <c r="D52" i="18"/>
  <c r="E52" i="18" s="1"/>
  <c r="F52" i="18" s="1"/>
  <c r="G52" i="18" s="1"/>
  <c r="H52" i="18" s="1"/>
  <c r="I52" i="18" s="1"/>
  <c r="J52" i="18" s="1"/>
  <c r="K52" i="18" s="1"/>
  <c r="L52" i="18" s="1"/>
  <c r="M52" i="18" s="1"/>
  <c r="N52" i="18" s="1"/>
  <c r="O52" i="18" s="1"/>
  <c r="P52" i="18" s="1"/>
  <c r="D58" i="18"/>
  <c r="E58" i="18" s="1"/>
  <c r="F58" i="18" s="1"/>
  <c r="G58" i="18" s="1"/>
  <c r="H58" i="18" s="1"/>
  <c r="I58" i="18" s="1"/>
  <c r="J58" i="18" s="1"/>
  <c r="K58" i="18" s="1"/>
  <c r="L58" i="18" s="1"/>
  <c r="M58" i="18" s="1"/>
  <c r="N58" i="18" s="1"/>
  <c r="O58" i="18" s="1"/>
  <c r="P58" i="18" s="1"/>
  <c r="D53" i="18"/>
  <c r="E53" i="18" s="1"/>
  <c r="F53" i="18" s="1"/>
  <c r="G53" i="18" s="1"/>
  <c r="H53" i="18" s="1"/>
  <c r="I53" i="18" s="1"/>
  <c r="J53" i="18" s="1"/>
  <c r="K53" i="18" s="1"/>
  <c r="L53" i="18" s="1"/>
  <c r="M53" i="18" s="1"/>
  <c r="N53" i="18" s="1"/>
  <c r="O53" i="18" s="1"/>
  <c r="P53" i="18" s="1"/>
  <c r="D55" i="18"/>
  <c r="E55" i="18" s="1"/>
  <c r="F55" i="18" s="1"/>
  <c r="G55" i="18" s="1"/>
  <c r="H55" i="18" s="1"/>
  <c r="I55" i="18" s="1"/>
  <c r="J55" i="18" s="1"/>
  <c r="K55" i="18" s="1"/>
  <c r="L55" i="18" s="1"/>
  <c r="M55" i="18" s="1"/>
  <c r="N55" i="18" s="1"/>
  <c r="O55" i="18" s="1"/>
  <c r="P55" i="18" s="1"/>
  <c r="E46" i="20"/>
  <c r="F50" i="27"/>
  <c r="C39" i="27"/>
  <c r="F39" i="27" s="1"/>
  <c r="F54" i="27"/>
  <c r="C43" i="27"/>
  <c r="F43" i="27" s="1"/>
  <c r="H54" i="27"/>
  <c r="D43" i="27"/>
  <c r="H43" i="27" s="1"/>
  <c r="D56" i="18"/>
  <c r="E56" i="18" s="1"/>
  <c r="F56" i="18" s="1"/>
  <c r="G56" i="18" s="1"/>
  <c r="H56" i="18" s="1"/>
  <c r="I56" i="18" s="1"/>
  <c r="J56" i="18" s="1"/>
  <c r="K56" i="18" s="1"/>
  <c r="L56" i="18" s="1"/>
  <c r="M56" i="18" s="1"/>
  <c r="N56" i="18" s="1"/>
  <c r="O56" i="18" s="1"/>
  <c r="P56" i="18" s="1"/>
  <c r="D38" i="19" a="1"/>
  <c r="D38" i="19" s="1"/>
  <c r="R32" i="4" s="1"/>
  <c r="E23" i="23"/>
  <c r="C101" i="23"/>
  <c r="B123" i="23"/>
  <c r="B111" i="23"/>
  <c r="C53" i="23"/>
  <c r="E42" i="23"/>
  <c r="G49" i="27"/>
  <c r="D38" i="27"/>
  <c r="D56" i="27"/>
  <c r="H56" i="27" s="1"/>
  <c r="H49" i="27"/>
  <c r="G49" i="23"/>
  <c r="D84" i="23"/>
  <c r="G73" i="23"/>
  <c r="B86" i="27"/>
  <c r="C128" i="27"/>
  <c r="G72" i="27"/>
  <c r="D61" i="27"/>
  <c r="D83" i="27"/>
  <c r="H72" i="27"/>
  <c r="D87" i="27"/>
  <c r="D132" i="27"/>
  <c r="D65" i="27"/>
  <c r="H65" i="27" s="1"/>
  <c r="E90" i="28"/>
  <c r="C85" i="23"/>
  <c r="E85" i="23" s="1"/>
  <c r="E74" i="23"/>
  <c r="G74" i="23"/>
  <c r="F74" i="23"/>
  <c r="D84" i="27"/>
  <c r="D62" i="27"/>
  <c r="H73" i="27"/>
  <c r="G73" i="27"/>
  <c r="C98" i="23"/>
  <c r="E20" i="23"/>
  <c r="C107" i="23"/>
  <c r="C119" i="23"/>
  <c r="E29" i="23"/>
  <c r="C45" i="23"/>
  <c r="B68" i="23"/>
  <c r="G61" i="23"/>
  <c r="B45" i="27"/>
  <c r="F51" i="27"/>
  <c r="C40" i="27"/>
  <c r="F40" i="27" s="1"/>
  <c r="I52" i="20"/>
  <c r="P52" i="20"/>
  <c r="H52" i="20"/>
  <c r="O52" i="20"/>
  <c r="G52" i="20"/>
  <c r="N52" i="20"/>
  <c r="F52" i="20"/>
  <c r="M52" i="20"/>
  <c r="E52" i="20"/>
  <c r="L52" i="20"/>
  <c r="D52" i="20"/>
  <c r="K52" i="20"/>
  <c r="J52" i="20"/>
  <c r="E68" i="23"/>
  <c r="C96" i="23"/>
  <c r="E18" i="23"/>
  <c r="B55" i="23"/>
  <c r="C105" i="27"/>
  <c r="F27" i="27"/>
  <c r="C34" i="27"/>
  <c r="B88" i="27"/>
  <c r="B133" i="27" s="1"/>
  <c r="F57" i="31"/>
  <c r="D37" i="28"/>
  <c r="G36" i="28"/>
  <c r="D130" i="28"/>
  <c r="G112" i="28"/>
  <c r="G78" i="28"/>
  <c r="F78" i="28"/>
  <c r="D114" i="28"/>
  <c r="D90" i="28"/>
  <c r="C132" i="28"/>
  <c r="E114" i="28"/>
  <c r="J49" i="20"/>
  <c r="E50" i="20"/>
  <c r="M50" i="20"/>
  <c r="D23" i="23"/>
  <c r="F16" i="23"/>
  <c r="D96" i="23"/>
  <c r="G18" i="23"/>
  <c r="D117" i="23"/>
  <c r="D34" i="23"/>
  <c r="F27" i="23"/>
  <c r="D107" i="23"/>
  <c r="G29" i="23"/>
  <c r="D45" i="23"/>
  <c r="F38" i="23"/>
  <c r="B78" i="23"/>
  <c r="D72" i="23"/>
  <c r="H51" i="27"/>
  <c r="G51" i="27"/>
  <c r="D40" i="27"/>
  <c r="D124" i="27"/>
  <c r="D112" i="27"/>
  <c r="B56" i="27"/>
  <c r="C84" i="27"/>
  <c r="C129" i="27"/>
  <c r="F73" i="27"/>
  <c r="C117" i="27"/>
  <c r="B94" i="28"/>
  <c r="B72" i="28"/>
  <c r="C103" i="28"/>
  <c r="E103" i="28" s="1"/>
  <c r="G106" i="28"/>
  <c r="F106" i="28"/>
  <c r="D142" i="28"/>
  <c r="G104" i="28"/>
  <c r="F104" i="28"/>
  <c r="K49" i="20"/>
  <c r="F50" i="20"/>
  <c r="N50" i="20"/>
  <c r="G16" i="23"/>
  <c r="G27" i="23"/>
  <c r="G38" i="23"/>
  <c r="B50" i="23"/>
  <c r="B84" i="23" s="1"/>
  <c r="D68" i="23"/>
  <c r="F61" i="23"/>
  <c r="G65" i="23"/>
  <c r="C78" i="23"/>
  <c r="B117" i="23"/>
  <c r="B83" i="27"/>
  <c r="B61" i="27"/>
  <c r="B68" i="27" s="1"/>
  <c r="B128" i="27"/>
  <c r="B79" i="27"/>
  <c r="D85" i="27"/>
  <c r="H74" i="27"/>
  <c r="G74" i="27"/>
  <c r="D63" i="27"/>
  <c r="G27" i="27"/>
  <c r="B122" i="27"/>
  <c r="B110" i="27"/>
  <c r="G50" i="27"/>
  <c r="C62" i="27"/>
  <c r="D64" i="27"/>
  <c r="D49" i="20"/>
  <c r="D53" i="20" s="1"/>
  <c r="D54" i="20" s="1"/>
  <c r="L49" i="20"/>
  <c r="G50" i="20"/>
  <c r="O50" i="20"/>
  <c r="F18" i="23"/>
  <c r="B23" i="23"/>
  <c r="B101" i="23" s="1"/>
  <c r="F29" i="23"/>
  <c r="B122" i="23"/>
  <c r="B110" i="23"/>
  <c r="B34" i="23"/>
  <c r="F40" i="23"/>
  <c r="C50" i="23"/>
  <c r="F50" i="23" s="1"/>
  <c r="B53" i="23"/>
  <c r="E63" i="23"/>
  <c r="E65" i="23"/>
  <c r="C79" i="23"/>
  <c r="B118" i="23"/>
  <c r="D121" i="23"/>
  <c r="C108" i="27"/>
  <c r="C120" i="27"/>
  <c r="H50" i="27"/>
  <c r="H53" i="27"/>
  <c r="C54" i="28"/>
  <c r="G94" i="28"/>
  <c r="C107" i="28"/>
  <c r="E107" i="28" s="1"/>
  <c r="E71" i="28"/>
  <c r="B137" i="28"/>
  <c r="B210" i="28" s="1"/>
  <c r="E119" i="28"/>
  <c r="F120" i="28"/>
  <c r="D138" i="28"/>
  <c r="G86" i="28"/>
  <c r="F86" i="28"/>
  <c r="D122" i="28"/>
  <c r="E49" i="20"/>
  <c r="M49" i="20"/>
  <c r="H50" i="20"/>
  <c r="P50" i="20"/>
  <c r="E12" i="23"/>
  <c r="B120" i="23"/>
  <c r="F63" i="23"/>
  <c r="C73" i="23"/>
  <c r="F73" i="23" s="1"/>
  <c r="D109" i="23"/>
  <c r="C118" i="23"/>
  <c r="C86" i="27"/>
  <c r="B118" i="27"/>
  <c r="B106" i="27"/>
  <c r="H28" i="27"/>
  <c r="D57" i="31"/>
  <c r="D59" i="31" s="1"/>
  <c r="B37" i="28"/>
  <c r="E77" i="28"/>
  <c r="C113" i="28"/>
  <c r="B117" i="28"/>
  <c r="B135" i="28" s="1"/>
  <c r="B208" i="28" s="1"/>
  <c r="G17" i="23"/>
  <c r="D95" i="23"/>
  <c r="G28" i="23"/>
  <c r="D106" i="23"/>
  <c r="D53" i="23"/>
  <c r="E62" i="23"/>
  <c r="D105" i="23"/>
  <c r="D118" i="23"/>
  <c r="C123" i="23"/>
  <c r="F53" i="27"/>
  <c r="C42" i="27"/>
  <c r="F42" i="27" s="1"/>
  <c r="F9" i="30"/>
  <c r="B101" i="27"/>
  <c r="C118" i="27"/>
  <c r="C106" i="27"/>
  <c r="F28" i="27"/>
  <c r="B121" i="27"/>
  <c r="B109" i="27"/>
  <c r="F32" i="27"/>
  <c r="B66" i="27"/>
  <c r="F66" i="27" s="1"/>
  <c r="C85" i="27"/>
  <c r="C130" i="27" s="1"/>
  <c r="E40" i="28"/>
  <c r="G98" i="28"/>
  <c r="E81" i="28"/>
  <c r="C117" i="28"/>
  <c r="G49" i="20"/>
  <c r="O49" i="20"/>
  <c r="F17" i="23"/>
  <c r="F28" i="23"/>
  <c r="F39" i="23"/>
  <c r="G62" i="23"/>
  <c r="D76" i="23"/>
  <c r="D94" i="23"/>
  <c r="D98" i="23"/>
  <c r="B84" i="27"/>
  <c r="B129" i="27"/>
  <c r="B62" i="27"/>
  <c r="C83" i="27"/>
  <c r="C61" i="27"/>
  <c r="C87" i="27"/>
  <c r="C132" i="27"/>
  <c r="C65" i="27"/>
  <c r="F65" i="27" s="1"/>
  <c r="I7" i="30"/>
  <c r="G9" i="30"/>
  <c r="C101" i="27"/>
  <c r="F49" i="27"/>
  <c r="F74" i="27"/>
  <c r="G24" i="28"/>
  <c r="F24" i="28"/>
  <c r="D95" i="28"/>
  <c r="G59" i="28"/>
  <c r="F59" i="28"/>
  <c r="B126" i="28"/>
  <c r="F101" i="28"/>
  <c r="F112" i="28"/>
  <c r="B139" i="28"/>
  <c r="H49" i="20"/>
  <c r="G21" i="23"/>
  <c r="G32" i="23"/>
  <c r="G43" i="23"/>
  <c r="D51" i="23"/>
  <c r="D85" i="23" s="1"/>
  <c r="F62" i="23"/>
  <c r="E66" i="23"/>
  <c r="C106" i="23"/>
  <c r="D119" i="23"/>
  <c r="H12" i="27"/>
  <c r="F33" i="30" s="1"/>
  <c r="H9" i="30"/>
  <c r="D101" i="27"/>
  <c r="H23" i="27"/>
  <c r="B34" i="27"/>
  <c r="F72" i="27"/>
  <c r="C89" i="27"/>
  <c r="C134" i="27" s="1"/>
  <c r="C122" i="27"/>
  <c r="G28" i="28"/>
  <c r="F28" i="28"/>
  <c r="D118" i="28"/>
  <c r="D100" i="28"/>
  <c r="G48" i="28"/>
  <c r="F48" i="28"/>
  <c r="C99" i="28"/>
  <c r="E99" i="28" s="1"/>
  <c r="G102" i="28"/>
  <c r="F102" i="28"/>
  <c r="E85" i="28"/>
  <c r="C121" i="28"/>
  <c r="G123" i="28"/>
  <c r="D141" i="28"/>
  <c r="F158" i="28"/>
  <c r="G158" i="28"/>
  <c r="B85" i="27"/>
  <c r="B130" i="27" s="1"/>
  <c r="G27" i="28"/>
  <c r="B54" i="28"/>
  <c r="E43" i="28"/>
  <c r="G52" i="28"/>
  <c r="F52" i="28"/>
  <c r="D99" i="28"/>
  <c r="G63" i="28"/>
  <c r="F63" i="28"/>
  <c r="C106" i="28"/>
  <c r="E106" i="28" s="1"/>
  <c r="E70" i="28"/>
  <c r="C137" i="28"/>
  <c r="E104" i="28"/>
  <c r="C136" i="28"/>
  <c r="E118" i="28"/>
  <c r="C140" i="28"/>
  <c r="E140" i="28" s="1"/>
  <c r="E122" i="28"/>
  <c r="F154" i="28"/>
  <c r="G154" i="28"/>
  <c r="F14" i="29"/>
  <c r="E14" i="29"/>
  <c r="C19" i="29"/>
  <c r="C77" i="29"/>
  <c r="E77" i="29" s="1"/>
  <c r="G81" i="29"/>
  <c r="G26" i="29"/>
  <c r="F26" i="29"/>
  <c r="D98" i="29"/>
  <c r="F32" i="29"/>
  <c r="C50" i="29"/>
  <c r="E32" i="29"/>
  <c r="C37" i="29"/>
  <c r="E37" i="29" s="1"/>
  <c r="G44" i="29"/>
  <c r="F44" i="29"/>
  <c r="D62" i="29"/>
  <c r="B69" i="29"/>
  <c r="B105" i="29" s="1"/>
  <c r="C49" i="23"/>
  <c r="E49" i="23" s="1"/>
  <c r="C72" i="23"/>
  <c r="C88" i="27"/>
  <c r="C133" i="27" s="1"/>
  <c r="D120" i="27"/>
  <c r="D108" i="27"/>
  <c r="G31" i="28"/>
  <c r="D54" i="28"/>
  <c r="G40" i="28"/>
  <c r="F40" i="28"/>
  <c r="E47" i="28"/>
  <c r="C94" i="28"/>
  <c r="F94" i="28" s="1"/>
  <c r="C72" i="28"/>
  <c r="E58" i="28"/>
  <c r="D96" i="28"/>
  <c r="D103" i="28"/>
  <c r="G67" i="28"/>
  <c r="F67" i="28"/>
  <c r="G81" i="28"/>
  <c r="G105" i="28"/>
  <c r="D137" i="28"/>
  <c r="G119" i="28"/>
  <c r="G77" i="29"/>
  <c r="F77" i="29"/>
  <c r="F58" i="31"/>
  <c r="E51" i="29"/>
  <c r="C69" i="29"/>
  <c r="E69" i="29" s="1"/>
  <c r="C142" i="28"/>
  <c r="E142" i="28" s="1"/>
  <c r="D100" i="29"/>
  <c r="G60" i="29"/>
  <c r="F60" i="29"/>
  <c r="G52" i="29"/>
  <c r="F52" i="29"/>
  <c r="D70" i="29"/>
  <c r="G80" i="29"/>
  <c r="F80" i="29"/>
  <c r="E16" i="23"/>
  <c r="E27" i="23"/>
  <c r="C34" i="23"/>
  <c r="E38" i="23"/>
  <c r="E61" i="23"/>
  <c r="D110" i="23"/>
  <c r="B87" i="27"/>
  <c r="B132" i="27" s="1"/>
  <c r="B134" i="27"/>
  <c r="D89" i="27"/>
  <c r="D134" i="27" s="1"/>
  <c r="C121" i="27"/>
  <c r="C109" i="27"/>
  <c r="H32" i="27"/>
  <c r="D88" i="27"/>
  <c r="D133" i="27" s="1"/>
  <c r="G35" i="28"/>
  <c r="G44" i="28"/>
  <c r="F44" i="28"/>
  <c r="E51" i="28"/>
  <c r="B95" i="28"/>
  <c r="B131" i="28" s="1"/>
  <c r="B204" i="28" s="1"/>
  <c r="C98" i="28"/>
  <c r="C134" i="28" s="1"/>
  <c r="E62" i="28"/>
  <c r="D107" i="28"/>
  <c r="G71" i="28"/>
  <c r="F71" i="28"/>
  <c r="E116" i="28"/>
  <c r="G85" i="28"/>
  <c r="B125" i="28"/>
  <c r="B143" i="28" s="1"/>
  <c r="F105" i="28"/>
  <c r="F116" i="28"/>
  <c r="F119" i="28"/>
  <c r="G124" i="28"/>
  <c r="D133" i="28"/>
  <c r="D121" i="27"/>
  <c r="D109" i="27"/>
  <c r="D67" i="27"/>
  <c r="B89" i="27"/>
  <c r="F23" i="28"/>
  <c r="E23" i="28"/>
  <c r="G32" i="28"/>
  <c r="F32" i="28"/>
  <c r="C36" i="28"/>
  <c r="G51" i="28"/>
  <c r="C95" i="28"/>
  <c r="E95" i="28" s="1"/>
  <c r="B133" i="28"/>
  <c r="D134" i="28"/>
  <c r="G82" i="28"/>
  <c r="F82" i="28"/>
  <c r="C125" i="28"/>
  <c r="E89" i="28"/>
  <c r="G116" i="28"/>
  <c r="F124" i="28"/>
  <c r="B167" i="28"/>
  <c r="E148" i="28"/>
  <c r="C102" i="28"/>
  <c r="E102" i="28" s="1"/>
  <c r="E66" i="28"/>
  <c r="C133" i="28"/>
  <c r="E133" i="28" s="1"/>
  <c r="C138" i="28"/>
  <c r="E120" i="28"/>
  <c r="B132" i="28"/>
  <c r="B205" i="28" s="1"/>
  <c r="B124" i="28"/>
  <c r="B142" i="28" s="1"/>
  <c r="D125" i="28"/>
  <c r="B95" i="29"/>
  <c r="G25" i="29"/>
  <c r="B97" i="29"/>
  <c r="B59" i="29"/>
  <c r="C63" i="29"/>
  <c r="E52" i="29"/>
  <c r="B112" i="28"/>
  <c r="B130" i="28" s="1"/>
  <c r="D113" i="28"/>
  <c r="B116" i="28"/>
  <c r="B134" i="28" s="1"/>
  <c r="B207" i="28" s="1"/>
  <c r="D117" i="28"/>
  <c r="B120" i="28"/>
  <c r="B138" i="28" s="1"/>
  <c r="B211" i="28" s="1"/>
  <c r="D121" i="28"/>
  <c r="D167" i="28"/>
  <c r="G148" i="28"/>
  <c r="D78" i="29"/>
  <c r="G15" i="29"/>
  <c r="F15" i="29"/>
  <c r="C95" i="29"/>
  <c r="F25" i="29"/>
  <c r="E25" i="29"/>
  <c r="C97" i="29"/>
  <c r="G33" i="29"/>
  <c r="D51" i="29"/>
  <c r="F33" i="29"/>
  <c r="E53" i="29"/>
  <c r="C71" i="29"/>
  <c r="E71" i="29" s="1"/>
  <c r="C59" i="29"/>
  <c r="F43" i="29"/>
  <c r="E43" i="29"/>
  <c r="B71" i="29"/>
  <c r="B61" i="29"/>
  <c r="F27" i="28"/>
  <c r="F31" i="28"/>
  <c r="F35" i="28"/>
  <c r="F43" i="28"/>
  <c r="F47" i="28"/>
  <c r="F51" i="28"/>
  <c r="F58" i="28"/>
  <c r="F62" i="28"/>
  <c r="F66" i="28"/>
  <c r="F70" i="28"/>
  <c r="F77" i="28"/>
  <c r="F81" i="28"/>
  <c r="F85" i="28"/>
  <c r="F89" i="28"/>
  <c r="F155" i="28"/>
  <c r="D106" i="29"/>
  <c r="G61" i="29"/>
  <c r="C61" i="29"/>
  <c r="G58" i="28"/>
  <c r="E61" i="28"/>
  <c r="G62" i="28"/>
  <c r="E65" i="28"/>
  <c r="G66" i="28"/>
  <c r="E69" i="28"/>
  <c r="G70" i="28"/>
  <c r="E76" i="28"/>
  <c r="C123" i="28"/>
  <c r="G89" i="28"/>
  <c r="F148" i="28"/>
  <c r="B81" i="29"/>
  <c r="G18" i="29"/>
  <c r="B70" i="29"/>
  <c r="G36" i="29"/>
  <c r="B54" i="29"/>
  <c r="B107" i="29"/>
  <c r="D72" i="28"/>
  <c r="B77" i="29"/>
  <c r="G14" i="29"/>
  <c r="B19" i="29"/>
  <c r="D58" i="31" s="1"/>
  <c r="F18" i="29"/>
  <c r="E18" i="29"/>
  <c r="C81" i="29"/>
  <c r="E81" i="29" s="1"/>
  <c r="G32" i="29"/>
  <c r="B50" i="29"/>
  <c r="B37" i="29"/>
  <c r="G37" i="29" s="1"/>
  <c r="F36" i="29"/>
  <c r="C54" i="29"/>
  <c r="E36" i="29"/>
  <c r="C107" i="29"/>
  <c r="D68" i="29"/>
  <c r="D72" i="29"/>
  <c r="E62" i="29"/>
  <c r="F9" i="29"/>
  <c r="F17" i="29"/>
  <c r="F24" i="29"/>
  <c r="F35" i="29"/>
  <c r="F42" i="29"/>
  <c r="F50" i="29"/>
  <c r="D53" i="29"/>
  <c r="F54" i="29"/>
  <c r="H87" i="13" s="1"/>
  <c r="G79" i="29"/>
  <c r="E16" i="29"/>
  <c r="E23" i="29"/>
  <c r="G24" i="29"/>
  <c r="E27" i="29"/>
  <c r="E34" i="29"/>
  <c r="E41" i="29"/>
  <c r="G42" i="29"/>
  <c r="E45" i="29"/>
  <c r="C96" i="29"/>
  <c r="D96" i="29"/>
  <c r="I18" i="31"/>
  <c r="B28" i="29"/>
  <c r="B100" i="29" s="1"/>
  <c r="D55" i="29"/>
  <c r="C28" i="29"/>
  <c r="F28" i="29" s="1"/>
  <c r="C60" i="29"/>
  <c r="E35" i="29"/>
  <c r="D8" i="4" l="1"/>
  <c r="F85" i="23"/>
  <c r="G85" i="23"/>
  <c r="D34" i="4"/>
  <c r="C207" i="28"/>
  <c r="E134" i="28"/>
  <c r="E50" i="17"/>
  <c r="E68" i="17"/>
  <c r="H24" i="30"/>
  <c r="H28" i="30" s="1"/>
  <c r="G72" i="28"/>
  <c r="F72" i="28"/>
  <c r="E63" i="29"/>
  <c r="F63" i="29"/>
  <c r="D101" i="23"/>
  <c r="G23" i="23"/>
  <c r="F23" i="23"/>
  <c r="D144" i="15"/>
  <c r="D155" i="15" s="1"/>
  <c r="D161" i="15"/>
  <c r="D130" i="15"/>
  <c r="D172" i="15" s="1"/>
  <c r="G190" i="6"/>
  <c r="H124" i="6"/>
  <c r="E150" i="10"/>
  <c r="E130" i="10"/>
  <c r="F99" i="10"/>
  <c r="D68" i="17"/>
  <c r="D50" i="17"/>
  <c r="F163" i="15"/>
  <c r="F146" i="15"/>
  <c r="D134" i="14"/>
  <c r="F112" i="13"/>
  <c r="G43" i="18"/>
  <c r="G68" i="18" s="1"/>
  <c r="H83" i="13"/>
  <c r="G90" i="13"/>
  <c r="E64" i="18"/>
  <c r="F65" i="18"/>
  <c r="F102" i="13"/>
  <c r="G120" i="14"/>
  <c r="J71" i="13"/>
  <c r="G200" i="14"/>
  <c r="G148" i="14"/>
  <c r="G180" i="14" s="1"/>
  <c r="H80" i="14"/>
  <c r="G63" i="13"/>
  <c r="H63" i="13" s="1"/>
  <c r="I63" i="13" s="1"/>
  <c r="J63" i="13" s="1"/>
  <c r="K63" i="13" s="1"/>
  <c r="L63" i="13" s="1"/>
  <c r="M63" i="13" s="1"/>
  <c r="N63" i="13" s="1"/>
  <c r="O63" i="13" s="1"/>
  <c r="P63" i="13" s="1"/>
  <c r="F109" i="13"/>
  <c r="D101" i="11"/>
  <c r="D111" i="11" s="1"/>
  <c r="D118" i="11"/>
  <c r="E76" i="11"/>
  <c r="E129" i="10"/>
  <c r="F98" i="10"/>
  <c r="E149" i="10"/>
  <c r="D93" i="9"/>
  <c r="D110" i="9"/>
  <c r="E72" i="9"/>
  <c r="H55" i="9"/>
  <c r="G64" i="9"/>
  <c r="H111" i="7"/>
  <c r="G165" i="7"/>
  <c r="G148" i="7"/>
  <c r="G39" i="15"/>
  <c r="G49" i="15" s="1"/>
  <c r="H77" i="7"/>
  <c r="G126" i="7"/>
  <c r="G138" i="7" s="1"/>
  <c r="H89" i="7"/>
  <c r="E65" i="18"/>
  <c r="G40" i="15"/>
  <c r="H78" i="7"/>
  <c r="G200" i="8"/>
  <c r="H132" i="8"/>
  <c r="E80" i="17"/>
  <c r="E113" i="8"/>
  <c r="D80" i="17"/>
  <c r="F179" i="6"/>
  <c r="F9" i="4" s="1"/>
  <c r="F11" i="4" s="1"/>
  <c r="G40" i="14"/>
  <c r="H88" i="6"/>
  <c r="G102" i="6"/>
  <c r="F76" i="17"/>
  <c r="G102" i="8"/>
  <c r="H102" i="8" s="1"/>
  <c r="I102" i="8" s="1"/>
  <c r="J102" i="8" s="1"/>
  <c r="K102" i="8" s="1"/>
  <c r="L102" i="8" s="1"/>
  <c r="M102" i="8" s="1"/>
  <c r="N102" i="8" s="1"/>
  <c r="O102" i="8" s="1"/>
  <c r="P102" i="8" s="1"/>
  <c r="F202" i="8"/>
  <c r="E179" i="6"/>
  <c r="E9" i="4" s="1"/>
  <c r="G162" i="7"/>
  <c r="G145" i="7"/>
  <c r="H108" i="7"/>
  <c r="G186" i="6"/>
  <c r="G166" i="6"/>
  <c r="G133" i="6"/>
  <c r="H120" i="6"/>
  <c r="G74" i="17"/>
  <c r="G48" i="17"/>
  <c r="G80" i="17" s="1"/>
  <c r="G52" i="14"/>
  <c r="H100" i="6"/>
  <c r="F80" i="17"/>
  <c r="J95" i="5"/>
  <c r="I130" i="5"/>
  <c r="F42" i="16"/>
  <c r="I172" i="8"/>
  <c r="J156" i="8"/>
  <c r="G163" i="6"/>
  <c r="G178" i="6" s="1"/>
  <c r="H117" i="6"/>
  <c r="J150" i="6"/>
  <c r="G134" i="5"/>
  <c r="G150" i="5"/>
  <c r="H99" i="5"/>
  <c r="G56" i="27"/>
  <c r="H68" i="15"/>
  <c r="G123" i="15"/>
  <c r="I125" i="15"/>
  <c r="J70" i="15"/>
  <c r="D41" i="18"/>
  <c r="D66" i="18" s="1"/>
  <c r="G37" i="18"/>
  <c r="G62" i="18" s="1"/>
  <c r="H77" i="13"/>
  <c r="G194" i="14"/>
  <c r="H74" i="14"/>
  <c r="G142" i="14"/>
  <c r="G174" i="14" s="1"/>
  <c r="E37" i="18"/>
  <c r="E62" i="18" s="1"/>
  <c r="G97" i="13"/>
  <c r="G81" i="13"/>
  <c r="H76" i="13"/>
  <c r="H77" i="14"/>
  <c r="G197" i="14"/>
  <c r="G145" i="14"/>
  <c r="G177" i="14" s="1"/>
  <c r="G96" i="14"/>
  <c r="G128" i="14" s="1"/>
  <c r="E69" i="18"/>
  <c r="G129" i="12"/>
  <c r="H59" i="12"/>
  <c r="G98" i="12"/>
  <c r="G116" i="12" s="1"/>
  <c r="H46" i="18"/>
  <c r="H71" i="18" s="1"/>
  <c r="I86" i="13"/>
  <c r="H96" i="12"/>
  <c r="H114" i="12" s="1"/>
  <c r="I55" i="12"/>
  <c r="D71" i="18"/>
  <c r="D101" i="12"/>
  <c r="F67" i="13"/>
  <c r="G62" i="13"/>
  <c r="E145" i="10"/>
  <c r="E125" i="10"/>
  <c r="F94" i="10"/>
  <c r="E122" i="11"/>
  <c r="E105" i="11"/>
  <c r="F80" i="11"/>
  <c r="E103" i="9"/>
  <c r="E88" i="9"/>
  <c r="F67" i="9"/>
  <c r="D123" i="10"/>
  <c r="E92" i="10"/>
  <c r="D143" i="10"/>
  <c r="G212" i="8"/>
  <c r="H144" i="8"/>
  <c r="G192" i="8"/>
  <c r="H103" i="7"/>
  <c r="G157" i="7"/>
  <c r="E149" i="7"/>
  <c r="E10" i="4" s="1"/>
  <c r="E11" i="4" s="1"/>
  <c r="G205" i="8"/>
  <c r="G185" i="8"/>
  <c r="H137" i="8"/>
  <c r="F102" i="11"/>
  <c r="G77" i="11"/>
  <c r="F119" i="11"/>
  <c r="G46" i="17"/>
  <c r="G78" i="17" s="1"/>
  <c r="G50" i="14"/>
  <c r="H98" i="6"/>
  <c r="G38" i="17"/>
  <c r="G70" i="17" s="1"/>
  <c r="G42" i="14"/>
  <c r="H90" i="6"/>
  <c r="F41" i="16"/>
  <c r="G39" i="16"/>
  <c r="H130" i="6"/>
  <c r="G196" i="6"/>
  <c r="H162" i="6"/>
  <c r="I116" i="6"/>
  <c r="G151" i="6"/>
  <c r="H105" i="6"/>
  <c r="D75" i="17"/>
  <c r="E45" i="16"/>
  <c r="G43" i="15"/>
  <c r="H81" i="7"/>
  <c r="G208" i="8"/>
  <c r="G188" i="8"/>
  <c r="H140" i="8"/>
  <c r="G159" i="7"/>
  <c r="H105" i="7"/>
  <c r="D179" i="6"/>
  <c r="D76" i="17"/>
  <c r="H206" i="8"/>
  <c r="G40" i="17"/>
  <c r="G72" i="17" s="1"/>
  <c r="G44" i="14"/>
  <c r="H92" i="6"/>
  <c r="H152" i="5"/>
  <c r="I101" i="5"/>
  <c r="H154" i="5"/>
  <c r="F59" i="16"/>
  <c r="G45" i="17"/>
  <c r="G77" i="17" s="1"/>
  <c r="G49" i="14"/>
  <c r="H97" i="6"/>
  <c r="G155" i="5"/>
  <c r="G153" i="5"/>
  <c r="H102" i="5"/>
  <c r="G137" i="5"/>
  <c r="H130" i="5"/>
  <c r="H203" i="8"/>
  <c r="I135" i="8"/>
  <c r="J23" i="30"/>
  <c r="G155" i="6"/>
  <c r="G170" i="6" s="1"/>
  <c r="H109" i="6"/>
  <c r="H174" i="8"/>
  <c r="I126" i="8"/>
  <c r="G189" i="6"/>
  <c r="G169" i="6"/>
  <c r="H123" i="6"/>
  <c r="L104" i="6"/>
  <c r="K150" i="6"/>
  <c r="H43" i="17"/>
  <c r="H75" i="17" s="1"/>
  <c r="H47" i="14"/>
  <c r="I95" i="6"/>
  <c r="F144" i="15"/>
  <c r="F161" i="15"/>
  <c r="F130" i="15"/>
  <c r="F172" i="15" s="1"/>
  <c r="E102" i="14"/>
  <c r="G48" i="15"/>
  <c r="H86" i="7"/>
  <c r="G165" i="8"/>
  <c r="H117" i="8"/>
  <c r="G44" i="17"/>
  <c r="G76" i="17" s="1"/>
  <c r="G48" i="14"/>
  <c r="H96" i="6"/>
  <c r="J44" i="15"/>
  <c r="K82" i="7"/>
  <c r="H38" i="15"/>
  <c r="I76" i="7"/>
  <c r="G38" i="16"/>
  <c r="G59" i="16" s="1"/>
  <c r="G38" i="12"/>
  <c r="H76" i="5"/>
  <c r="J97" i="5"/>
  <c r="E72" i="23"/>
  <c r="C83" i="23"/>
  <c r="E83" i="23" s="1"/>
  <c r="F68" i="29"/>
  <c r="G68" i="29"/>
  <c r="E61" i="29"/>
  <c r="G103" i="28"/>
  <c r="F103" i="28"/>
  <c r="E58" i="31"/>
  <c r="E19" i="29"/>
  <c r="D135" i="28"/>
  <c r="G117" i="28"/>
  <c r="F117" i="28"/>
  <c r="E125" i="28"/>
  <c r="C143" i="28"/>
  <c r="E143" i="28" s="1"/>
  <c r="F133" i="28"/>
  <c r="G133" i="28"/>
  <c r="F37" i="29"/>
  <c r="D210" i="28"/>
  <c r="F137" i="28"/>
  <c r="G137" i="28"/>
  <c r="G96" i="28"/>
  <c r="F96" i="28"/>
  <c r="C209" i="28"/>
  <c r="E136" i="28"/>
  <c r="B124" i="23"/>
  <c r="B112" i="23"/>
  <c r="H63" i="27"/>
  <c r="G63" i="27"/>
  <c r="D124" i="23"/>
  <c r="D112" i="23"/>
  <c r="G34" i="23"/>
  <c r="F34" i="23"/>
  <c r="D203" i="28"/>
  <c r="G130" i="28"/>
  <c r="B79" i="23"/>
  <c r="G50" i="23"/>
  <c r="E53" i="20"/>
  <c r="E54" i="20" s="1"/>
  <c r="F46" i="20"/>
  <c r="G152" i="14"/>
  <c r="G184" i="14" s="1"/>
  <c r="H84" i="14"/>
  <c r="G204" i="14"/>
  <c r="H150" i="15"/>
  <c r="H167" i="15"/>
  <c r="G153" i="14"/>
  <c r="G185" i="14" s="1"/>
  <c r="G205" i="14"/>
  <c r="H85" i="14"/>
  <c r="G45" i="18"/>
  <c r="G70" i="18" s="1"/>
  <c r="H85" i="13"/>
  <c r="F70" i="18"/>
  <c r="F64" i="18"/>
  <c r="D61" i="18"/>
  <c r="D47" i="18"/>
  <c r="G195" i="14"/>
  <c r="G143" i="14"/>
  <c r="G175" i="14" s="1"/>
  <c r="H75" i="14"/>
  <c r="G91" i="14"/>
  <c r="G123" i="14" s="1"/>
  <c r="F71" i="18"/>
  <c r="H82" i="14"/>
  <c r="G202" i="14"/>
  <c r="G150" i="14"/>
  <c r="G182" i="14" s="1"/>
  <c r="G44" i="18"/>
  <c r="G69" i="18" s="1"/>
  <c r="H84" i="13"/>
  <c r="F41" i="18"/>
  <c r="F66" i="18" s="1"/>
  <c r="F113" i="13"/>
  <c r="F102" i="14"/>
  <c r="G71" i="18"/>
  <c r="G127" i="12"/>
  <c r="L69" i="13"/>
  <c r="D119" i="12"/>
  <c r="E147" i="10"/>
  <c r="E127" i="10"/>
  <c r="F96" i="10"/>
  <c r="F148" i="10"/>
  <c r="F128" i="10"/>
  <c r="G97" i="10"/>
  <c r="G201" i="8"/>
  <c r="G181" i="8"/>
  <c r="H133" i="8"/>
  <c r="H94" i="7"/>
  <c r="G131" i="7"/>
  <c r="G202" i="8"/>
  <c r="G182" i="8"/>
  <c r="H134" i="8"/>
  <c r="H101" i="7"/>
  <c r="G112" i="7"/>
  <c r="G155" i="7"/>
  <c r="G175" i="8"/>
  <c r="G191" i="8" s="1"/>
  <c r="H127" i="8"/>
  <c r="G130" i="7"/>
  <c r="G142" i="7" s="1"/>
  <c r="H93" i="7"/>
  <c r="G198" i="6"/>
  <c r="H132" i="6"/>
  <c r="H185" i="6"/>
  <c r="H165" i="6"/>
  <c r="I119" i="6"/>
  <c r="H39" i="16"/>
  <c r="H39" i="12"/>
  <c r="I77" i="5"/>
  <c r="G127" i="7"/>
  <c r="G139" i="7" s="1"/>
  <c r="H90" i="7"/>
  <c r="G193" i="6"/>
  <c r="F78" i="17"/>
  <c r="I42" i="17"/>
  <c r="I74" i="17" s="1"/>
  <c r="I46" i="14"/>
  <c r="J94" i="6"/>
  <c r="E41" i="17"/>
  <c r="E73" i="17" s="1"/>
  <c r="F139" i="10"/>
  <c r="F119" i="10"/>
  <c r="G88" i="10"/>
  <c r="H173" i="8"/>
  <c r="I125" i="8"/>
  <c r="G99" i="8"/>
  <c r="F113" i="8"/>
  <c r="D81" i="17"/>
  <c r="D60" i="16"/>
  <c r="D63" i="16"/>
  <c r="G170" i="8"/>
  <c r="G186" i="8" s="1"/>
  <c r="H122" i="8"/>
  <c r="J121" i="6"/>
  <c r="D79" i="17"/>
  <c r="I41" i="16"/>
  <c r="I41" i="12"/>
  <c r="J79" i="5"/>
  <c r="D213" i="8"/>
  <c r="I129" i="5"/>
  <c r="J94" i="5"/>
  <c r="I88" i="5"/>
  <c r="H123" i="5"/>
  <c r="H129" i="5"/>
  <c r="H140" i="5" s="1"/>
  <c r="E74" i="17"/>
  <c r="J129" i="6"/>
  <c r="B68" i="29"/>
  <c r="B73" i="29" s="1"/>
  <c r="B91" i="29" s="1"/>
  <c r="B55" i="29"/>
  <c r="E98" i="28"/>
  <c r="F98" i="28"/>
  <c r="D131" i="10"/>
  <c r="E100" i="10"/>
  <c r="D151" i="10"/>
  <c r="F64" i="9"/>
  <c r="G134" i="7"/>
  <c r="G146" i="7" s="1"/>
  <c r="H97" i="7"/>
  <c r="G197" i="6"/>
  <c r="G177" i="6"/>
  <c r="H131" i="6"/>
  <c r="F100" i="11"/>
  <c r="G75" i="11"/>
  <c r="D71" i="29"/>
  <c r="G53" i="29"/>
  <c r="F53" i="29"/>
  <c r="E123" i="28"/>
  <c r="C141" i="28"/>
  <c r="E141" i="28" s="1"/>
  <c r="H13" i="30"/>
  <c r="D140" i="28"/>
  <c r="G122" i="28"/>
  <c r="F122" i="28"/>
  <c r="E50" i="23"/>
  <c r="G142" i="28"/>
  <c r="F142" i="28"/>
  <c r="C124" i="27"/>
  <c r="C112" i="27"/>
  <c r="F34" i="27"/>
  <c r="F23" i="30"/>
  <c r="B135" i="27"/>
  <c r="H38" i="27"/>
  <c r="G38" i="27"/>
  <c r="D45" i="27"/>
  <c r="E59" i="29"/>
  <c r="F59" i="29"/>
  <c r="E57" i="31"/>
  <c r="E59" i="31" s="1"/>
  <c r="C37" i="28"/>
  <c r="E50" i="29"/>
  <c r="C68" i="29"/>
  <c r="C104" i="29" s="1"/>
  <c r="C55" i="29"/>
  <c r="G99" i="28"/>
  <c r="F99" i="28"/>
  <c r="F95" i="28"/>
  <c r="G95" i="28"/>
  <c r="F11" i="30"/>
  <c r="F13" i="30"/>
  <c r="I13" i="30" s="1"/>
  <c r="F84" i="27"/>
  <c r="G62" i="29"/>
  <c r="F62" i="29"/>
  <c r="F141" i="28"/>
  <c r="G141" i="28"/>
  <c r="C135" i="28"/>
  <c r="E117" i="28"/>
  <c r="D211" i="28"/>
  <c r="G138" i="28"/>
  <c r="F138" i="28"/>
  <c r="D108" i="28"/>
  <c r="C45" i="27"/>
  <c r="F72" i="23"/>
  <c r="D83" i="23"/>
  <c r="G72" i="23"/>
  <c r="C56" i="23"/>
  <c r="E45" i="23"/>
  <c r="D90" i="27"/>
  <c r="H83" i="27"/>
  <c r="G83" i="27"/>
  <c r="G84" i="23"/>
  <c r="E53" i="23"/>
  <c r="G126" i="15"/>
  <c r="H71" i="15"/>
  <c r="G84" i="15"/>
  <c r="G109" i="15" s="1"/>
  <c r="G127" i="15"/>
  <c r="H72" i="15"/>
  <c r="H76" i="14"/>
  <c r="G196" i="14"/>
  <c r="G144" i="14"/>
  <c r="G176" i="14" s="1"/>
  <c r="H124" i="15"/>
  <c r="I69" i="15"/>
  <c r="H82" i="15"/>
  <c r="H107" i="15" s="1"/>
  <c r="H198" i="14"/>
  <c r="H146" i="14"/>
  <c r="H178" i="14" s="1"/>
  <c r="I78" i="14"/>
  <c r="D69" i="18"/>
  <c r="G64" i="18"/>
  <c r="G100" i="14"/>
  <c r="G132" i="14" s="1"/>
  <c r="E61" i="18"/>
  <c r="E68" i="18"/>
  <c r="G199" i="14"/>
  <c r="H79" i="14"/>
  <c r="G147" i="14"/>
  <c r="G95" i="14"/>
  <c r="G127" i="14" s="1"/>
  <c r="F69" i="18"/>
  <c r="F134" i="14"/>
  <c r="F110" i="13"/>
  <c r="D106" i="11"/>
  <c r="D123" i="11"/>
  <c r="E81" i="11"/>
  <c r="D67" i="18"/>
  <c r="E140" i="10"/>
  <c r="F89" i="10"/>
  <c r="E120" i="10"/>
  <c r="E118" i="10"/>
  <c r="F87" i="10"/>
  <c r="E138" i="10"/>
  <c r="D87" i="9"/>
  <c r="D96" i="9" s="1"/>
  <c r="E66" i="9"/>
  <c r="D102" i="9"/>
  <c r="D75" i="9"/>
  <c r="D111" i="9" s="1"/>
  <c r="D86" i="11"/>
  <c r="D128" i="11" s="1"/>
  <c r="E107" i="11"/>
  <c r="F82" i="11"/>
  <c r="E124" i="11"/>
  <c r="F209" i="8"/>
  <c r="F74" i="9"/>
  <c r="E95" i="9"/>
  <c r="G129" i="7"/>
  <c r="H92" i="7"/>
  <c r="G167" i="8"/>
  <c r="G183" i="8" s="1"/>
  <c r="H119" i="8"/>
  <c r="L124" i="8"/>
  <c r="G161" i="6"/>
  <c r="G176" i="6" s="1"/>
  <c r="H115" i="6"/>
  <c r="D77" i="17"/>
  <c r="D69" i="17"/>
  <c r="G185" i="6"/>
  <c r="D59" i="16"/>
  <c r="H176" i="8"/>
  <c r="I128" i="8"/>
  <c r="G159" i="6"/>
  <c r="G174" i="6" s="1"/>
  <c r="H113" i="6"/>
  <c r="F49" i="17"/>
  <c r="F81" i="17" s="1"/>
  <c r="E49" i="17"/>
  <c r="E81" i="17" s="1"/>
  <c r="D73" i="17"/>
  <c r="G157" i="5"/>
  <c r="G139" i="5"/>
  <c r="H104" i="5"/>
  <c r="F74" i="17"/>
  <c r="F77" i="17"/>
  <c r="H93" i="5"/>
  <c r="G128" i="5"/>
  <c r="E158" i="5"/>
  <c r="J87" i="5"/>
  <c r="I122" i="5"/>
  <c r="G203" i="8"/>
  <c r="I136" i="7"/>
  <c r="J99" i="7"/>
  <c r="E77" i="17"/>
  <c r="H163" i="8"/>
  <c r="I115" i="8"/>
  <c r="D158" i="5"/>
  <c r="G75" i="17"/>
  <c r="G152" i="6"/>
  <c r="G167" i="6" s="1"/>
  <c r="H106" i="6"/>
  <c r="G167" i="28"/>
  <c r="G13" i="30"/>
  <c r="F60" i="16"/>
  <c r="I206" i="8"/>
  <c r="J138" i="8"/>
  <c r="J9" i="30"/>
  <c r="I153" i="6"/>
  <c r="J107" i="6"/>
  <c r="H192" i="6"/>
  <c r="H172" i="6"/>
  <c r="I126" i="6"/>
  <c r="B72" i="29"/>
  <c r="G72" i="29" s="1"/>
  <c r="D87" i="13"/>
  <c r="D94" i="13" s="1"/>
  <c r="D60" i="31"/>
  <c r="F10" i="30"/>
  <c r="F14" i="30" s="1"/>
  <c r="E54" i="29"/>
  <c r="G87" i="13" s="1"/>
  <c r="C72" i="29"/>
  <c r="E72" i="29" s="1"/>
  <c r="E87" i="13"/>
  <c r="E94" i="13" s="1"/>
  <c r="G113" i="28"/>
  <c r="F113" i="28"/>
  <c r="D131" i="28"/>
  <c r="G125" i="28"/>
  <c r="F125" i="28"/>
  <c r="D143" i="28"/>
  <c r="G28" i="29"/>
  <c r="G24" i="30"/>
  <c r="G28" i="30" s="1"/>
  <c r="E72" i="28"/>
  <c r="C210" i="28"/>
  <c r="E137" i="28"/>
  <c r="F123" i="28"/>
  <c r="H66" i="27"/>
  <c r="F61" i="27"/>
  <c r="C68" i="27"/>
  <c r="E79" i="23"/>
  <c r="C90" i="23"/>
  <c r="F24" i="30"/>
  <c r="F28" i="30" s="1"/>
  <c r="G39" i="27"/>
  <c r="C205" i="28"/>
  <c r="E132" i="28"/>
  <c r="B56" i="23"/>
  <c r="D68" i="27"/>
  <c r="H61" i="27"/>
  <c r="G61" i="27"/>
  <c r="D53" i="16"/>
  <c r="E53" i="16" s="1"/>
  <c r="F53" i="16" s="1"/>
  <c r="G53" i="16" s="1"/>
  <c r="H53" i="16" s="1"/>
  <c r="I53" i="16" s="1"/>
  <c r="J53" i="16" s="1"/>
  <c r="K53" i="16" s="1"/>
  <c r="L53" i="16" s="1"/>
  <c r="M53" i="16" s="1"/>
  <c r="N53" i="16" s="1"/>
  <c r="O53" i="16" s="1"/>
  <c r="P53" i="16" s="1"/>
  <c r="D48" i="16"/>
  <c r="E48" i="16" s="1"/>
  <c r="F48" i="16" s="1"/>
  <c r="G48" i="16" s="1"/>
  <c r="H48" i="16" s="1"/>
  <c r="I48" i="16" s="1"/>
  <c r="J48" i="16" s="1"/>
  <c r="K48" i="16" s="1"/>
  <c r="L48" i="16" s="1"/>
  <c r="M48" i="16" s="1"/>
  <c r="N48" i="16" s="1"/>
  <c r="O48" i="16" s="1"/>
  <c r="P48" i="16" s="1"/>
  <c r="D51" i="16"/>
  <c r="E51" i="16" s="1"/>
  <c r="F51" i="16" s="1"/>
  <c r="G51" i="16" s="1"/>
  <c r="H51" i="16" s="1"/>
  <c r="I51" i="16" s="1"/>
  <c r="J51" i="16" s="1"/>
  <c r="K51" i="16" s="1"/>
  <c r="L51" i="16" s="1"/>
  <c r="M51" i="16" s="1"/>
  <c r="N51" i="16" s="1"/>
  <c r="O51" i="16" s="1"/>
  <c r="P51" i="16" s="1"/>
  <c r="D54" i="16"/>
  <c r="D52" i="16"/>
  <c r="E52" i="16" s="1"/>
  <c r="F52" i="16" s="1"/>
  <c r="G52" i="16" s="1"/>
  <c r="H52" i="16" s="1"/>
  <c r="I52" i="16" s="1"/>
  <c r="J52" i="16" s="1"/>
  <c r="K52" i="16" s="1"/>
  <c r="L52" i="16" s="1"/>
  <c r="M52" i="16" s="1"/>
  <c r="N52" i="16" s="1"/>
  <c r="O52" i="16" s="1"/>
  <c r="P52" i="16" s="1"/>
  <c r="D55" i="16"/>
  <c r="D47" i="16"/>
  <c r="E47" i="16" s="1"/>
  <c r="F47" i="16" s="1"/>
  <c r="G47" i="16" s="1"/>
  <c r="H47" i="16" s="1"/>
  <c r="I47" i="16" s="1"/>
  <c r="J47" i="16" s="1"/>
  <c r="K47" i="16" s="1"/>
  <c r="L47" i="16" s="1"/>
  <c r="M47" i="16" s="1"/>
  <c r="N47" i="16" s="1"/>
  <c r="O47" i="16" s="1"/>
  <c r="P47" i="16" s="1"/>
  <c r="D50" i="16"/>
  <c r="E50" i="16" s="1"/>
  <c r="F50" i="16" s="1"/>
  <c r="G50" i="16" s="1"/>
  <c r="H50" i="16" s="1"/>
  <c r="I50" i="16" s="1"/>
  <c r="J50" i="16" s="1"/>
  <c r="K50" i="16" s="1"/>
  <c r="L50" i="16" s="1"/>
  <c r="M50" i="16" s="1"/>
  <c r="N50" i="16" s="1"/>
  <c r="O50" i="16" s="1"/>
  <c r="P50" i="16" s="1"/>
  <c r="F152" i="15"/>
  <c r="F169" i="15"/>
  <c r="D154" i="14"/>
  <c r="D179" i="14"/>
  <c r="D186" i="14" s="1"/>
  <c r="G166" i="15"/>
  <c r="G149" i="15"/>
  <c r="I83" i="15"/>
  <c r="I108" i="15" s="1"/>
  <c r="G102" i="15"/>
  <c r="F88" i="15"/>
  <c r="F102" i="15"/>
  <c r="F113" i="15" s="1"/>
  <c r="D88" i="15"/>
  <c r="H39" i="18"/>
  <c r="H64" i="18" s="1"/>
  <c r="H100" i="13"/>
  <c r="H111" i="13"/>
  <c r="I79" i="13"/>
  <c r="G40" i="18"/>
  <c r="G65" i="18" s="1"/>
  <c r="H80" i="13"/>
  <c r="G112" i="13"/>
  <c r="G101" i="14"/>
  <c r="G133" i="14" s="1"/>
  <c r="G128" i="12"/>
  <c r="H56" i="12"/>
  <c r="G97" i="12"/>
  <c r="G115" i="12" s="1"/>
  <c r="G67" i="12"/>
  <c r="G84" i="12" s="1"/>
  <c r="G38" i="18"/>
  <c r="G63" i="18" s="1"/>
  <c r="G110" i="13"/>
  <c r="H78" i="13"/>
  <c r="G99" i="13"/>
  <c r="H54" i="12"/>
  <c r="G126" i="12"/>
  <c r="G95" i="12"/>
  <c r="G113" i="12" s="1"/>
  <c r="D63" i="18"/>
  <c r="F71" i="12"/>
  <c r="E104" i="11"/>
  <c r="F79" i="11"/>
  <c r="E121" i="11"/>
  <c r="G130" i="12"/>
  <c r="G99" i="12"/>
  <c r="G117" i="12" s="1"/>
  <c r="H60" i="12"/>
  <c r="G69" i="12"/>
  <c r="G86" i="12" s="1"/>
  <c r="F42" i="18"/>
  <c r="F67" i="18" s="1"/>
  <c r="G68" i="11"/>
  <c r="E126" i="10"/>
  <c r="F95" i="10"/>
  <c r="E146" i="10"/>
  <c r="F71" i="10"/>
  <c r="E85" i="10"/>
  <c r="F193" i="8"/>
  <c r="G47" i="15"/>
  <c r="H85" i="7"/>
  <c r="D193" i="8"/>
  <c r="J24" i="30"/>
  <c r="G199" i="8"/>
  <c r="H131" i="8"/>
  <c r="G145" i="8"/>
  <c r="G179" i="8"/>
  <c r="G45" i="15"/>
  <c r="H83" i="7"/>
  <c r="E108" i="9"/>
  <c r="E106" i="9"/>
  <c r="E91" i="9"/>
  <c r="F70" i="9"/>
  <c r="H171" i="8"/>
  <c r="I123" i="8"/>
  <c r="H156" i="6"/>
  <c r="H171" i="6" s="1"/>
  <c r="I110" i="6"/>
  <c r="G135" i="5"/>
  <c r="G142" i="5" s="1"/>
  <c r="H100" i="5"/>
  <c r="G151" i="5"/>
  <c r="E59" i="16"/>
  <c r="H46" i="15"/>
  <c r="I84" i="7"/>
  <c r="E75" i="17"/>
  <c r="F43" i="12"/>
  <c r="J169" i="8"/>
  <c r="K121" i="8"/>
  <c r="F149" i="7"/>
  <c r="F10" i="4" s="1"/>
  <c r="I125" i="6"/>
  <c r="H191" i="6"/>
  <c r="H47" i="17"/>
  <c r="H79" i="17" s="1"/>
  <c r="H51" i="14"/>
  <c r="I99" i="6"/>
  <c r="F41" i="17"/>
  <c r="F73" i="17" s="1"/>
  <c r="G156" i="7"/>
  <c r="H102" i="7"/>
  <c r="F79" i="17"/>
  <c r="F58" i="16"/>
  <c r="F213" i="8"/>
  <c r="G135" i="7"/>
  <c r="H98" i="7"/>
  <c r="F61" i="16"/>
  <c r="H41" i="16"/>
  <c r="D43" i="12"/>
  <c r="G37" i="17"/>
  <c r="G69" i="17" s="1"/>
  <c r="G41" i="14"/>
  <c r="H89" i="6"/>
  <c r="I121" i="5"/>
  <c r="I132" i="5" s="1"/>
  <c r="J86" i="5"/>
  <c r="J103" i="5"/>
  <c r="H122" i="5"/>
  <c r="E39" i="16"/>
  <c r="E60" i="16" s="1"/>
  <c r="D74" i="17"/>
  <c r="H125" i="5"/>
  <c r="H136" i="5" s="1"/>
  <c r="I90" i="5"/>
  <c r="G149" i="5"/>
  <c r="H98" i="5"/>
  <c r="G133" i="5"/>
  <c r="G160" i="6"/>
  <c r="G175" i="6" s="1"/>
  <c r="H114" i="6"/>
  <c r="G55" i="29"/>
  <c r="F85" i="27"/>
  <c r="G121" i="15"/>
  <c r="H66" i="15"/>
  <c r="G79" i="15"/>
  <c r="G104" i="15" s="1"/>
  <c r="D120" i="11"/>
  <c r="E78" i="11"/>
  <c r="D103" i="11"/>
  <c r="E105" i="9"/>
  <c r="F69" i="9"/>
  <c r="E90" i="9"/>
  <c r="H154" i="6"/>
  <c r="I108" i="6"/>
  <c r="E54" i="14"/>
  <c r="E34" i="23"/>
  <c r="C112" i="23"/>
  <c r="C124" i="23"/>
  <c r="C84" i="23"/>
  <c r="E84" i="23" s="1"/>
  <c r="E73" i="23"/>
  <c r="H40" i="27"/>
  <c r="G40" i="27"/>
  <c r="B90" i="27"/>
  <c r="F18" i="30" s="1"/>
  <c r="F20" i="30" s="1"/>
  <c r="F61" i="29"/>
  <c r="E60" i="29"/>
  <c r="C105" i="29"/>
  <c r="G50" i="29"/>
  <c r="D104" i="29"/>
  <c r="B106" i="29"/>
  <c r="G51" i="29"/>
  <c r="F51" i="29"/>
  <c r="D69" i="29"/>
  <c r="D73" i="29" s="1"/>
  <c r="F78" i="29"/>
  <c r="G78" i="29"/>
  <c r="B203" i="28"/>
  <c r="B144" i="28"/>
  <c r="B181" i="28" s="1"/>
  <c r="B199" i="28" s="1"/>
  <c r="D207" i="28"/>
  <c r="G134" i="28"/>
  <c r="F134" i="28"/>
  <c r="F36" i="28"/>
  <c r="G107" i="28"/>
  <c r="F107" i="28"/>
  <c r="G70" i="29"/>
  <c r="F19" i="29"/>
  <c r="E112" i="28"/>
  <c r="C167" i="28"/>
  <c r="E167" i="28" s="1"/>
  <c r="E94" i="28"/>
  <c r="C108" i="28"/>
  <c r="G100" i="28"/>
  <c r="F100" i="28"/>
  <c r="B124" i="27"/>
  <c r="B112" i="27"/>
  <c r="H34" i="27"/>
  <c r="C90" i="27"/>
  <c r="G18" i="30" s="1"/>
  <c r="G20" i="30" s="1"/>
  <c r="F83" i="27"/>
  <c r="G120" i="28"/>
  <c r="E54" i="28"/>
  <c r="F62" i="27"/>
  <c r="H85" i="27"/>
  <c r="G85" i="27"/>
  <c r="D130" i="27"/>
  <c r="B108" i="28"/>
  <c r="G34" i="27"/>
  <c r="G90" i="28"/>
  <c r="F90" i="28"/>
  <c r="D126" i="28"/>
  <c r="F59" i="31"/>
  <c r="H62" i="27"/>
  <c r="G62" i="27"/>
  <c r="F49" i="23"/>
  <c r="G122" i="15"/>
  <c r="H67" i="15"/>
  <c r="H128" i="15"/>
  <c r="I73" i="15"/>
  <c r="H120" i="15"/>
  <c r="I65" i="15"/>
  <c r="D113" i="15"/>
  <c r="E63" i="18"/>
  <c r="E154" i="14"/>
  <c r="D64" i="18"/>
  <c r="E108" i="13"/>
  <c r="G125" i="12"/>
  <c r="G94" i="12"/>
  <c r="G62" i="12"/>
  <c r="G64" i="12"/>
  <c r="H53" i="12"/>
  <c r="H94" i="14"/>
  <c r="H126" i="14" s="1"/>
  <c r="F63" i="18"/>
  <c r="F88" i="12"/>
  <c r="F20" i="4" s="1"/>
  <c r="F95" i="13"/>
  <c r="F101" i="12"/>
  <c r="E67" i="18"/>
  <c r="F110" i="11"/>
  <c r="G85" i="11"/>
  <c r="F127" i="11"/>
  <c r="E142" i="10"/>
  <c r="E122" i="10"/>
  <c r="F91" i="10"/>
  <c r="G204" i="8"/>
  <c r="H136" i="8"/>
  <c r="G184" i="8"/>
  <c r="G164" i="8"/>
  <c r="G180" i="8" s="1"/>
  <c r="H116" i="8"/>
  <c r="G141" i="7"/>
  <c r="H104" i="7"/>
  <c r="G158" i="7"/>
  <c r="F205" i="8"/>
  <c r="D166" i="7"/>
  <c r="H193" i="6"/>
  <c r="I127" i="6"/>
  <c r="H49" i="17"/>
  <c r="H81" i="17" s="1"/>
  <c r="H53" i="14"/>
  <c r="I101" i="6"/>
  <c r="F75" i="17"/>
  <c r="J18" i="30"/>
  <c r="G36" i="16"/>
  <c r="G36" i="12"/>
  <c r="G43" i="12" s="1"/>
  <c r="G84" i="5"/>
  <c r="J4" i="30" s="1"/>
  <c r="H74" i="5"/>
  <c r="I168" i="8"/>
  <c r="J120" i="8"/>
  <c r="G49" i="17"/>
  <c r="G81" i="17" s="1"/>
  <c r="F45" i="16"/>
  <c r="F57" i="16"/>
  <c r="J91" i="7"/>
  <c r="I157" i="6"/>
  <c r="J111" i="6"/>
  <c r="H39" i="17"/>
  <c r="H71" i="17" s="1"/>
  <c r="H43" i="14"/>
  <c r="I91" i="6"/>
  <c r="F54" i="14"/>
  <c r="H211" i="8"/>
  <c r="I143" i="8"/>
  <c r="D78" i="17"/>
  <c r="E94" i="9"/>
  <c r="F73" i="9"/>
  <c r="D149" i="7"/>
  <c r="E42" i="16"/>
  <c r="E63" i="16" s="1"/>
  <c r="E83" i="11"/>
  <c r="H116" i="7"/>
  <c r="G128" i="7"/>
  <c r="G140" i="7" s="1"/>
  <c r="G158" i="6"/>
  <c r="G173" i="6" s="1"/>
  <c r="G206" i="8"/>
  <c r="I40" i="16"/>
  <c r="I61" i="16" s="1"/>
  <c r="I40" i="12"/>
  <c r="J78" i="5"/>
  <c r="D57" i="16"/>
  <c r="D45" i="16"/>
  <c r="E61" i="16"/>
  <c r="G187" i="6"/>
  <c r="G42" i="16"/>
  <c r="G63" i="16" s="1"/>
  <c r="G42" i="12"/>
  <c r="H80" i="5"/>
  <c r="E69" i="17"/>
  <c r="I133" i="7"/>
  <c r="J96" i="7"/>
  <c r="I158" i="6"/>
  <c r="J112" i="6"/>
  <c r="E64" i="9"/>
  <c r="H84" i="27"/>
  <c r="G84" i="27"/>
  <c r="F186" i="14"/>
  <c r="G91" i="13"/>
  <c r="G98" i="13" s="1"/>
  <c r="H70" i="13"/>
  <c r="J100" i="12"/>
  <c r="J118" i="12" s="1"/>
  <c r="K61" i="12"/>
  <c r="J70" i="12"/>
  <c r="J87" i="12" s="1"/>
  <c r="H42" i="15"/>
  <c r="I80" i="7"/>
  <c r="H207" i="8"/>
  <c r="I139" i="8"/>
  <c r="H187" i="8"/>
  <c r="H61" i="16"/>
  <c r="G43" i="16"/>
  <c r="H81" i="5"/>
  <c r="G121" i="28"/>
  <c r="D139" i="28"/>
  <c r="F121" i="28"/>
  <c r="G53" i="23"/>
  <c r="C211" i="28"/>
  <c r="E138" i="28"/>
  <c r="F54" i="28"/>
  <c r="G54" i="28"/>
  <c r="G54" i="29"/>
  <c r="I87" i="13" s="1"/>
  <c r="E28" i="29"/>
  <c r="C100" i="29"/>
  <c r="G59" i="29"/>
  <c r="E124" i="28"/>
  <c r="G19" i="29"/>
  <c r="C130" i="28"/>
  <c r="F81" i="29"/>
  <c r="C70" i="29"/>
  <c r="E70" i="29" s="1"/>
  <c r="C139" i="28"/>
  <c r="E139" i="28" s="1"/>
  <c r="E121" i="28"/>
  <c r="D136" i="28"/>
  <c r="G118" i="28"/>
  <c r="F118" i="28"/>
  <c r="G51" i="23"/>
  <c r="F51" i="23"/>
  <c r="C131" i="28"/>
  <c r="E113" i="28"/>
  <c r="G68" i="23"/>
  <c r="F68" i="23"/>
  <c r="D79" i="23"/>
  <c r="D56" i="23"/>
  <c r="G45" i="23"/>
  <c r="F45" i="23"/>
  <c r="D132" i="28"/>
  <c r="G114" i="28"/>
  <c r="F114" i="28"/>
  <c r="D129" i="27"/>
  <c r="C126" i="28"/>
  <c r="E126" i="28" s="1"/>
  <c r="D128" i="27"/>
  <c r="G129" i="15"/>
  <c r="H74" i="15"/>
  <c r="G87" i="15"/>
  <c r="G112" i="15" s="1"/>
  <c r="G119" i="15"/>
  <c r="G75" i="15"/>
  <c r="H64" i="15"/>
  <c r="E102" i="15"/>
  <c r="E113" i="15" s="1"/>
  <c r="E88" i="15"/>
  <c r="E144" i="15"/>
  <c r="E155" i="15" s="1"/>
  <c r="E161" i="15"/>
  <c r="E130" i="15"/>
  <c r="E172" i="15" s="1"/>
  <c r="F154" i="14"/>
  <c r="G192" i="14"/>
  <c r="G140" i="14"/>
  <c r="G172" i="14" s="1"/>
  <c r="H72" i="14"/>
  <c r="G86" i="14"/>
  <c r="E134" i="14"/>
  <c r="E21" i="4" s="1"/>
  <c r="G81" i="15"/>
  <c r="G106" i="15" s="1"/>
  <c r="G201" i="14"/>
  <c r="G149" i="14"/>
  <c r="G181" i="14" s="1"/>
  <c r="H81" i="14"/>
  <c r="G193" i="14"/>
  <c r="G141" i="14"/>
  <c r="G173" i="14" s="1"/>
  <c r="H73" i="14"/>
  <c r="D70" i="18"/>
  <c r="G90" i="14"/>
  <c r="G122" i="14" s="1"/>
  <c r="F37" i="18"/>
  <c r="F62" i="18" s="1"/>
  <c r="E71" i="18"/>
  <c r="D65" i="18"/>
  <c r="D67" i="13"/>
  <c r="D113" i="13" s="1"/>
  <c r="D108" i="13"/>
  <c r="G203" i="14"/>
  <c r="G151" i="14"/>
  <c r="G183" i="14" s="1"/>
  <c r="H83" i="14"/>
  <c r="G99" i="14"/>
  <c r="G131" i="14" s="1"/>
  <c r="I72" i="13"/>
  <c r="H93" i="13"/>
  <c r="G94" i="13"/>
  <c r="G101" i="13" s="1"/>
  <c r="H73" i="13"/>
  <c r="F62" i="11"/>
  <c r="E73" i="11"/>
  <c r="F119" i="12"/>
  <c r="D109" i="11"/>
  <c r="E84" i="11"/>
  <c r="D126" i="11"/>
  <c r="E121" i="10"/>
  <c r="F90" i="10"/>
  <c r="E141" i="10"/>
  <c r="D144" i="10"/>
  <c r="D124" i="10"/>
  <c r="D132" i="10" s="1"/>
  <c r="E93" i="10"/>
  <c r="F104" i="9"/>
  <c r="F89" i="9"/>
  <c r="G68" i="9"/>
  <c r="G209" i="8"/>
  <c r="G189" i="8"/>
  <c r="H141" i="8"/>
  <c r="E71" i="9"/>
  <c r="G143" i="7"/>
  <c r="H106" i="7"/>
  <c r="G160" i="7"/>
  <c r="G210" i="8"/>
  <c r="G190" i="8"/>
  <c r="H142" i="8"/>
  <c r="E41" i="18"/>
  <c r="E66" i="18" s="1"/>
  <c r="E113" i="13"/>
  <c r="G132" i="7"/>
  <c r="H95" i="7"/>
  <c r="G164" i="7"/>
  <c r="G147" i="7"/>
  <c r="H110" i="7"/>
  <c r="H41" i="17"/>
  <c r="H73" i="17" s="1"/>
  <c r="H45" i="14"/>
  <c r="I93" i="6"/>
  <c r="G44" i="16"/>
  <c r="H82" i="5"/>
  <c r="G161" i="7"/>
  <c r="G144" i="7"/>
  <c r="H107" i="7"/>
  <c r="I109" i="7"/>
  <c r="H163" i="7"/>
  <c r="G41" i="17"/>
  <c r="G73" i="17" s="1"/>
  <c r="G168" i="6"/>
  <c r="H122" i="6"/>
  <c r="G188" i="6"/>
  <c r="E78" i="17"/>
  <c r="G79" i="17"/>
  <c r="K166" i="8"/>
  <c r="L118" i="8"/>
  <c r="E76" i="17"/>
  <c r="D54" i="14"/>
  <c r="E58" i="16"/>
  <c r="G87" i="7"/>
  <c r="H126" i="5"/>
  <c r="I91" i="5"/>
  <c r="E213" i="8"/>
  <c r="I92" i="5"/>
  <c r="H127" i="5"/>
  <c r="H138" i="5" s="1"/>
  <c r="I128" i="6"/>
  <c r="H194" i="6"/>
  <c r="G41" i="16"/>
  <c r="G195" i="6"/>
  <c r="H37" i="16"/>
  <c r="H58" i="16" s="1"/>
  <c r="H37" i="12"/>
  <c r="I75" i="5"/>
  <c r="H158" i="6"/>
  <c r="H173" i="6" s="1"/>
  <c r="H106" i="5"/>
  <c r="G141" i="5"/>
  <c r="H41" i="15"/>
  <c r="I79" i="7"/>
  <c r="H89" i="5"/>
  <c r="G124" i="5"/>
  <c r="I140" i="5"/>
  <c r="J105" i="5"/>
  <c r="G149" i="7" l="1"/>
  <c r="G10" i="4" s="1"/>
  <c r="D16" i="4"/>
  <c r="E34" i="4"/>
  <c r="G73" i="29"/>
  <c r="D91" i="29"/>
  <c r="G179" i="6"/>
  <c r="G9" i="4" s="1"/>
  <c r="D15" i="4"/>
  <c r="G8" i="4"/>
  <c r="F142" i="10"/>
  <c r="F122" i="10"/>
  <c r="G91" i="10"/>
  <c r="G69" i="9"/>
  <c r="F90" i="9"/>
  <c r="F105" i="9"/>
  <c r="F68" i="27"/>
  <c r="C79" i="27"/>
  <c r="F79" i="27" s="1"/>
  <c r="H152" i="6"/>
  <c r="H167" i="6" s="1"/>
  <c r="I106" i="6"/>
  <c r="D9" i="4"/>
  <c r="H46" i="17"/>
  <c r="H78" i="17" s="1"/>
  <c r="H50" i="14"/>
  <c r="I98" i="6"/>
  <c r="H195" i="6"/>
  <c r="F72" i="9"/>
  <c r="E93" i="9"/>
  <c r="E110" i="9"/>
  <c r="J128" i="6"/>
  <c r="K111" i="6"/>
  <c r="J157" i="6"/>
  <c r="H47" i="15"/>
  <c r="I85" i="7"/>
  <c r="G143" i="28"/>
  <c r="F143" i="28"/>
  <c r="I176" i="8"/>
  <c r="J128" i="8"/>
  <c r="H201" i="8"/>
  <c r="I133" i="8"/>
  <c r="H196" i="6"/>
  <c r="I130" i="6"/>
  <c r="E143" i="10"/>
  <c r="E123" i="10"/>
  <c r="F92" i="10"/>
  <c r="H39" i="15"/>
  <c r="I77" i="7"/>
  <c r="I106" i="7"/>
  <c r="H160" i="7"/>
  <c r="F139" i="28"/>
  <c r="G139" i="28"/>
  <c r="H91" i="13"/>
  <c r="I70" i="13"/>
  <c r="J133" i="7"/>
  <c r="K96" i="7"/>
  <c r="I116" i="7"/>
  <c r="H128" i="7"/>
  <c r="K18" i="30"/>
  <c r="H36" i="16"/>
  <c r="H36" i="12"/>
  <c r="H84" i="5"/>
  <c r="K4" i="30" s="1"/>
  <c r="I74" i="5"/>
  <c r="H148" i="5"/>
  <c r="H122" i="15"/>
  <c r="I67" i="15"/>
  <c r="H80" i="15"/>
  <c r="H105" i="15" s="1"/>
  <c r="H160" i="6"/>
  <c r="H175" i="6" s="1"/>
  <c r="I114" i="6"/>
  <c r="F104" i="11"/>
  <c r="G79" i="11"/>
  <c r="F121" i="11"/>
  <c r="H38" i="18"/>
  <c r="H63" i="18" s="1"/>
  <c r="H110" i="13"/>
  <c r="I78" i="13"/>
  <c r="E54" i="16"/>
  <c r="D64" i="16"/>
  <c r="E123" i="11"/>
  <c r="F81" i="11"/>
  <c r="E106" i="11"/>
  <c r="I79" i="14"/>
  <c r="H147" i="14"/>
  <c r="H199" i="14"/>
  <c r="H95" i="14"/>
  <c r="H127" i="14" s="1"/>
  <c r="I198" i="14"/>
  <c r="I146" i="14"/>
  <c r="I178" i="14" s="1"/>
  <c r="J78" i="14"/>
  <c r="I94" i="14"/>
  <c r="I126" i="14" s="1"/>
  <c r="H196" i="14"/>
  <c r="H144" i="14"/>
  <c r="H176" i="14" s="1"/>
  <c r="I76" i="14"/>
  <c r="H92" i="14"/>
  <c r="H124" i="14" s="1"/>
  <c r="E60" i="31"/>
  <c r="G10" i="30"/>
  <c r="F27" i="30"/>
  <c r="F25" i="30"/>
  <c r="G71" i="29"/>
  <c r="F71" i="29"/>
  <c r="G61" i="16"/>
  <c r="I39" i="16"/>
  <c r="I60" i="16" s="1"/>
  <c r="I39" i="12"/>
  <c r="J77" i="5"/>
  <c r="I101" i="7"/>
  <c r="H112" i="7"/>
  <c r="H155" i="7"/>
  <c r="H44" i="18"/>
  <c r="H69" i="18" s="1"/>
  <c r="I84" i="13"/>
  <c r="H205" i="14"/>
  <c r="I85" i="14"/>
  <c r="H153" i="14"/>
  <c r="H185" i="14" s="1"/>
  <c r="H101" i="14"/>
  <c r="H133" i="14" s="1"/>
  <c r="F53" i="20"/>
  <c r="F54" i="20" s="1"/>
  <c r="G46" i="20"/>
  <c r="H38" i="16"/>
  <c r="H59" i="16" s="1"/>
  <c r="H38" i="12"/>
  <c r="I76" i="5"/>
  <c r="H44" i="17"/>
  <c r="H76" i="17" s="1"/>
  <c r="H48" i="14"/>
  <c r="I96" i="6"/>
  <c r="M104" i="6"/>
  <c r="L150" i="6"/>
  <c r="J25" i="30"/>
  <c r="J27" i="30"/>
  <c r="E57" i="16"/>
  <c r="H127" i="12"/>
  <c r="H134" i="5"/>
  <c r="H150" i="5"/>
  <c r="I99" i="5"/>
  <c r="K156" i="8"/>
  <c r="J172" i="8"/>
  <c r="H162" i="7"/>
  <c r="H145" i="7"/>
  <c r="I108" i="7"/>
  <c r="H40" i="14"/>
  <c r="I88" i="6"/>
  <c r="H102" i="6"/>
  <c r="H190" i="6"/>
  <c r="I124" i="6"/>
  <c r="I106" i="5"/>
  <c r="H141" i="5"/>
  <c r="H119" i="15"/>
  <c r="I64" i="15"/>
  <c r="H75" i="15"/>
  <c r="H77" i="15"/>
  <c r="J158" i="6"/>
  <c r="K112" i="6"/>
  <c r="J168" i="8"/>
  <c r="K120" i="8"/>
  <c r="I128" i="15"/>
  <c r="J73" i="15"/>
  <c r="I86" i="15"/>
  <c r="I111" i="15" s="1"/>
  <c r="H126" i="12"/>
  <c r="I54" i="12"/>
  <c r="H95" i="12"/>
  <c r="H113" i="12" s="1"/>
  <c r="H65" i="12"/>
  <c r="H82" i="12" s="1"/>
  <c r="K44" i="15"/>
  <c r="L82" i="7"/>
  <c r="H188" i="6"/>
  <c r="I122" i="6"/>
  <c r="H168" i="6"/>
  <c r="G95" i="10"/>
  <c r="F146" i="10"/>
  <c r="F126" i="10"/>
  <c r="D14" i="4"/>
  <c r="D17" i="4" s="1"/>
  <c r="F84" i="23"/>
  <c r="F15" i="30"/>
  <c r="H195" i="14"/>
  <c r="H143" i="14"/>
  <c r="H175" i="14" s="1"/>
  <c r="I75" i="14"/>
  <c r="H91" i="14"/>
  <c r="H123" i="14" s="1"/>
  <c r="I37" i="16"/>
  <c r="I58" i="16" s="1"/>
  <c r="I37" i="12"/>
  <c r="J75" i="5"/>
  <c r="H132" i="7"/>
  <c r="I95" i="7"/>
  <c r="G144" i="15"/>
  <c r="G161" i="15"/>
  <c r="G130" i="15"/>
  <c r="G172" i="15" s="1"/>
  <c r="E144" i="10"/>
  <c r="E124" i="10"/>
  <c r="F93" i="10"/>
  <c r="D205" i="28"/>
  <c r="G132" i="28"/>
  <c r="F132" i="28"/>
  <c r="E131" i="28"/>
  <c r="C204" i="28"/>
  <c r="I42" i="15"/>
  <c r="J80" i="7"/>
  <c r="E125" i="11"/>
  <c r="E108" i="11"/>
  <c r="F83" i="11"/>
  <c r="K91" i="7"/>
  <c r="I193" i="6"/>
  <c r="I173" i="6"/>
  <c r="J127" i="6"/>
  <c r="I116" i="8"/>
  <c r="H164" i="8"/>
  <c r="G147" i="15"/>
  <c r="G164" i="15"/>
  <c r="F69" i="29"/>
  <c r="G69" i="29"/>
  <c r="D105" i="29"/>
  <c r="E120" i="11"/>
  <c r="E103" i="11"/>
  <c r="F78" i="11"/>
  <c r="I46" i="15"/>
  <c r="J84" i="7"/>
  <c r="I171" i="8"/>
  <c r="J123" i="8"/>
  <c r="G193" i="8"/>
  <c r="G42" i="18"/>
  <c r="G67" i="18" s="1"/>
  <c r="H68" i="11"/>
  <c r="J153" i="6"/>
  <c r="K107" i="6"/>
  <c r="E62" i="16"/>
  <c r="K87" i="5"/>
  <c r="J122" i="5"/>
  <c r="H167" i="8"/>
  <c r="H183" i="8" s="1"/>
  <c r="I119" i="8"/>
  <c r="F107" i="11"/>
  <c r="G82" i="11"/>
  <c r="F124" i="11"/>
  <c r="E101" i="10"/>
  <c r="E152" i="10" s="1"/>
  <c r="H127" i="15"/>
  <c r="I72" i="15"/>
  <c r="H85" i="15"/>
  <c r="H110" i="15" s="1"/>
  <c r="G23" i="30"/>
  <c r="C135" i="27"/>
  <c r="F45" i="27"/>
  <c r="C56" i="27"/>
  <c r="F56" i="27" s="1"/>
  <c r="G140" i="28"/>
  <c r="F140" i="28"/>
  <c r="G100" i="11"/>
  <c r="H75" i="11"/>
  <c r="I97" i="7"/>
  <c r="H134" i="7"/>
  <c r="H146" i="7" s="1"/>
  <c r="I123" i="5"/>
  <c r="J88" i="5"/>
  <c r="K121" i="6"/>
  <c r="J42" i="17"/>
  <c r="J74" i="17" s="1"/>
  <c r="J46" i="14"/>
  <c r="K94" i="6"/>
  <c r="M69" i="13"/>
  <c r="H189" i="6"/>
  <c r="H169" i="6"/>
  <c r="I123" i="6"/>
  <c r="J135" i="8"/>
  <c r="I203" i="8"/>
  <c r="H45" i="17"/>
  <c r="H77" i="17" s="1"/>
  <c r="H49" i="14"/>
  <c r="I97" i="6"/>
  <c r="I194" i="6" s="1"/>
  <c r="H40" i="17"/>
  <c r="H72" i="17" s="1"/>
  <c r="H44" i="14"/>
  <c r="I92" i="6"/>
  <c r="G60" i="16"/>
  <c r="F103" i="9"/>
  <c r="G67" i="9"/>
  <c r="F88" i="9"/>
  <c r="I46" i="18"/>
  <c r="I71" i="18" s="1"/>
  <c r="J86" i="13"/>
  <c r="G54" i="14"/>
  <c r="H200" i="14"/>
  <c r="I80" i="14"/>
  <c r="H148" i="14"/>
  <c r="H180" i="14" s="1"/>
  <c r="H96" i="14"/>
  <c r="H128" i="14" s="1"/>
  <c r="G104" i="9"/>
  <c r="G89" i="9"/>
  <c r="H68" i="9"/>
  <c r="D209" i="28"/>
  <c r="G136" i="28"/>
  <c r="F136" i="28"/>
  <c r="G74" i="9"/>
  <c r="F95" i="9"/>
  <c r="H45" i="18"/>
  <c r="H70" i="18" s="1"/>
  <c r="I85" i="13"/>
  <c r="H92" i="13"/>
  <c r="H99" i="13" s="1"/>
  <c r="H155" i="5"/>
  <c r="H137" i="5"/>
  <c r="H153" i="5"/>
  <c r="I102" i="5"/>
  <c r="E82" i="17"/>
  <c r="E84" i="17" s="1"/>
  <c r="E28" i="4" s="1"/>
  <c r="K105" i="5"/>
  <c r="J143" i="8"/>
  <c r="I211" i="8"/>
  <c r="H45" i="15"/>
  <c r="I83" i="7"/>
  <c r="M124" i="8"/>
  <c r="G179" i="14"/>
  <c r="G154" i="14"/>
  <c r="E135" i="28"/>
  <c r="C208" i="28"/>
  <c r="H159" i="7"/>
  <c r="I105" i="7"/>
  <c r="I89" i="5"/>
  <c r="H124" i="5"/>
  <c r="J92" i="5"/>
  <c r="I127" i="5"/>
  <c r="I138" i="5" s="1"/>
  <c r="L166" i="8"/>
  <c r="M118" i="8"/>
  <c r="I41" i="17"/>
  <c r="I73" i="17" s="1"/>
  <c r="I45" i="14"/>
  <c r="J93" i="6"/>
  <c r="E109" i="9"/>
  <c r="E92" i="9"/>
  <c r="F71" i="9"/>
  <c r="E107" i="9"/>
  <c r="H203" i="14"/>
  <c r="H151" i="14"/>
  <c r="H183" i="14" s="1"/>
  <c r="I83" i="14"/>
  <c r="H99" i="14"/>
  <c r="H131" i="14" s="1"/>
  <c r="H129" i="15"/>
  <c r="I74" i="15"/>
  <c r="H87" i="15"/>
  <c r="H112" i="15" s="1"/>
  <c r="H43" i="16"/>
  <c r="I81" i="5"/>
  <c r="J40" i="16"/>
  <c r="J61" i="16" s="1"/>
  <c r="J40" i="12"/>
  <c r="K78" i="5"/>
  <c r="G110" i="11"/>
  <c r="H85" i="11"/>
  <c r="G127" i="11"/>
  <c r="H125" i="12"/>
  <c r="H94" i="12"/>
  <c r="H62" i="12"/>
  <c r="H132" i="12" s="1"/>
  <c r="H64" i="12"/>
  <c r="I53" i="12"/>
  <c r="K103" i="5"/>
  <c r="H156" i="7"/>
  <c r="H139" i="7"/>
  <c r="I102" i="7"/>
  <c r="I191" i="6"/>
  <c r="J125" i="6"/>
  <c r="J10" i="30"/>
  <c r="H40" i="18"/>
  <c r="H65" i="18" s="1"/>
  <c r="I80" i="13"/>
  <c r="H112" i="13"/>
  <c r="D204" i="28"/>
  <c r="G131" i="28"/>
  <c r="F131" i="28"/>
  <c r="D101" i="13"/>
  <c r="D102" i="13" s="1"/>
  <c r="D95" i="13"/>
  <c r="I163" i="8"/>
  <c r="J115" i="8"/>
  <c r="F138" i="10"/>
  <c r="F118" i="10"/>
  <c r="G87" i="10"/>
  <c r="G152" i="15"/>
  <c r="G169" i="15"/>
  <c r="G108" i="28"/>
  <c r="D107" i="29"/>
  <c r="K94" i="5"/>
  <c r="J129" i="5"/>
  <c r="J140" i="5" s="1"/>
  <c r="J19" i="30"/>
  <c r="H99" i="8"/>
  <c r="G113" i="8"/>
  <c r="J5" i="30" s="1"/>
  <c r="J6" i="30" s="1"/>
  <c r="H60" i="16"/>
  <c r="H130" i="7"/>
  <c r="H142" i="7" s="1"/>
  <c r="I93" i="7"/>
  <c r="H202" i="8"/>
  <c r="I134" i="8"/>
  <c r="H182" i="8"/>
  <c r="G148" i="10"/>
  <c r="G128" i="10"/>
  <c r="H97" i="10"/>
  <c r="F155" i="15"/>
  <c r="F22" i="4" s="1"/>
  <c r="H188" i="8"/>
  <c r="I140" i="8"/>
  <c r="H208" i="8"/>
  <c r="H151" i="6"/>
  <c r="I105" i="6"/>
  <c r="F62" i="16"/>
  <c r="G102" i="11"/>
  <c r="H77" i="11"/>
  <c r="G119" i="11"/>
  <c r="H157" i="7"/>
  <c r="H140" i="7"/>
  <c r="I103" i="7"/>
  <c r="G67" i="13"/>
  <c r="H62" i="13"/>
  <c r="I77" i="14"/>
  <c r="H197" i="14"/>
  <c r="H145" i="14"/>
  <c r="H177" i="14" s="1"/>
  <c r="H93" i="14"/>
  <c r="H125" i="14" s="1"/>
  <c r="H194" i="14"/>
  <c r="I74" i="14"/>
  <c r="H142" i="14"/>
  <c r="H174" i="14" s="1"/>
  <c r="H90" i="14"/>
  <c r="H122" i="14" s="1"/>
  <c r="J125" i="15"/>
  <c r="K70" i="15"/>
  <c r="J83" i="15"/>
  <c r="J108" i="15" s="1"/>
  <c r="F63" i="16"/>
  <c r="H40" i="15"/>
  <c r="I78" i="7"/>
  <c r="F129" i="10"/>
  <c r="G98" i="10"/>
  <c r="F149" i="10"/>
  <c r="B104" i="29"/>
  <c r="D20" i="4"/>
  <c r="I192" i="6"/>
  <c r="I172" i="6"/>
  <c r="J126" i="6"/>
  <c r="I127" i="12"/>
  <c r="J55" i="12"/>
  <c r="I96" i="12"/>
  <c r="I114" i="12" s="1"/>
  <c r="I66" i="12"/>
  <c r="I83" i="12" s="1"/>
  <c r="G102" i="14"/>
  <c r="H153" i="15"/>
  <c r="H170" i="15"/>
  <c r="D144" i="28"/>
  <c r="I152" i="5"/>
  <c r="J101" i="5"/>
  <c r="I154" i="5"/>
  <c r="I136" i="5"/>
  <c r="E109" i="11"/>
  <c r="F84" i="11"/>
  <c r="E126" i="11"/>
  <c r="G171" i="15"/>
  <c r="G154" i="15"/>
  <c r="H42" i="16"/>
  <c r="H63" i="16" s="1"/>
  <c r="H42" i="12"/>
  <c r="I80" i="5"/>
  <c r="H156" i="5"/>
  <c r="H131" i="12"/>
  <c r="D62" i="16"/>
  <c r="G45" i="16"/>
  <c r="G57" i="16"/>
  <c r="G81" i="12"/>
  <c r="G88" i="12" s="1"/>
  <c r="G71" i="12"/>
  <c r="D22" i="4"/>
  <c r="J108" i="6"/>
  <c r="I154" i="6"/>
  <c r="H149" i="5"/>
  <c r="I98" i="5"/>
  <c r="H133" i="5"/>
  <c r="K23" i="30"/>
  <c r="H107" i="5"/>
  <c r="H62" i="16"/>
  <c r="F106" i="9"/>
  <c r="F91" i="9"/>
  <c r="F108" i="9"/>
  <c r="G70" i="9"/>
  <c r="K24" i="30"/>
  <c r="H199" i="8"/>
  <c r="I131" i="8"/>
  <c r="H145" i="8"/>
  <c r="H179" i="8"/>
  <c r="G113" i="15"/>
  <c r="G158" i="5"/>
  <c r="H129" i="7"/>
  <c r="I92" i="7"/>
  <c r="E132" i="10"/>
  <c r="E15" i="4" s="1"/>
  <c r="E47" i="18"/>
  <c r="H18" i="30"/>
  <c r="H20" i="30" s="1"/>
  <c r="I21" i="30" s="1"/>
  <c r="H90" i="27"/>
  <c r="K129" i="6"/>
  <c r="I173" i="8"/>
  <c r="J125" i="8"/>
  <c r="I185" i="6"/>
  <c r="I165" i="6"/>
  <c r="J119" i="6"/>
  <c r="D72" i="18"/>
  <c r="D74" i="18" s="1"/>
  <c r="H87" i="7"/>
  <c r="H165" i="8"/>
  <c r="H181" i="8" s="1"/>
  <c r="I117" i="8"/>
  <c r="D61" i="16"/>
  <c r="H38" i="17"/>
  <c r="H70" i="17" s="1"/>
  <c r="H42" i="14"/>
  <c r="I90" i="6"/>
  <c r="H187" i="6"/>
  <c r="H81" i="13"/>
  <c r="I76" i="13"/>
  <c r="I150" i="15"/>
  <c r="I167" i="15"/>
  <c r="H165" i="7"/>
  <c r="H148" i="7"/>
  <c r="I111" i="7"/>
  <c r="G95" i="13"/>
  <c r="I47" i="17"/>
  <c r="I79" i="17" s="1"/>
  <c r="I51" i="14"/>
  <c r="J99" i="6"/>
  <c r="D79" i="27"/>
  <c r="G68" i="27"/>
  <c r="H68" i="27"/>
  <c r="E87" i="9"/>
  <c r="E96" i="9" s="1"/>
  <c r="E14" i="4" s="1"/>
  <c r="F66" i="9"/>
  <c r="E102" i="9"/>
  <c r="E75" i="9"/>
  <c r="E111" i="9" s="1"/>
  <c r="H127" i="7"/>
  <c r="I90" i="7"/>
  <c r="H155" i="6"/>
  <c r="H170" i="6" s="1"/>
  <c r="I109" i="6"/>
  <c r="G102" i="13"/>
  <c r="I156" i="6"/>
  <c r="I171" i="6" s="1"/>
  <c r="J110" i="6"/>
  <c r="H157" i="5"/>
  <c r="I104" i="5"/>
  <c r="G166" i="7"/>
  <c r="D208" i="28"/>
  <c r="G135" i="28"/>
  <c r="F135" i="28"/>
  <c r="F145" i="10"/>
  <c r="F125" i="10"/>
  <c r="G94" i="10"/>
  <c r="H48" i="17"/>
  <c r="H80" i="17" s="1"/>
  <c r="H52" i="14"/>
  <c r="I100" i="6"/>
  <c r="H200" i="8"/>
  <c r="H180" i="8"/>
  <c r="I132" i="8"/>
  <c r="G134" i="14"/>
  <c r="H44" i="16"/>
  <c r="I82" i="5"/>
  <c r="H209" i="8"/>
  <c r="H189" i="8"/>
  <c r="I141" i="8"/>
  <c r="C203" i="28"/>
  <c r="C144" i="28"/>
  <c r="C181" i="28" s="1"/>
  <c r="E130" i="28"/>
  <c r="D10" i="4"/>
  <c r="G62" i="16"/>
  <c r="J91" i="5"/>
  <c r="I126" i="5"/>
  <c r="H190" i="8"/>
  <c r="H210" i="8"/>
  <c r="I142" i="8"/>
  <c r="G62" i="11"/>
  <c r="F73" i="11"/>
  <c r="F36" i="18"/>
  <c r="H141" i="14"/>
  <c r="H173" i="14" s="1"/>
  <c r="I73" i="14"/>
  <c r="H193" i="14"/>
  <c r="H89" i="14"/>
  <c r="H121" i="14" s="1"/>
  <c r="G206" i="14"/>
  <c r="G56" i="23"/>
  <c r="F56" i="23"/>
  <c r="K100" i="12"/>
  <c r="K118" i="12" s="1"/>
  <c r="L61" i="12"/>
  <c r="K70" i="12"/>
  <c r="K87" i="12" s="1"/>
  <c r="F94" i="9"/>
  <c r="G73" i="9"/>
  <c r="I39" i="17"/>
  <c r="I71" i="17" s="1"/>
  <c r="I43" i="14"/>
  <c r="J91" i="6"/>
  <c r="J20" i="30"/>
  <c r="H204" i="8"/>
  <c r="H184" i="8"/>
  <c r="I136" i="8"/>
  <c r="G132" i="12"/>
  <c r="I120" i="15"/>
  <c r="J65" i="15"/>
  <c r="I78" i="15"/>
  <c r="I103" i="15" s="1"/>
  <c r="H121" i="15"/>
  <c r="I66" i="15"/>
  <c r="H79" i="15"/>
  <c r="H104" i="15" s="1"/>
  <c r="H99" i="12"/>
  <c r="H117" i="12" s="1"/>
  <c r="I60" i="12"/>
  <c r="H130" i="12"/>
  <c r="H69" i="12"/>
  <c r="H86" i="12" s="1"/>
  <c r="I39" i="18"/>
  <c r="I64" i="18" s="1"/>
  <c r="I100" i="13"/>
  <c r="I111" i="13"/>
  <c r="J79" i="13"/>
  <c r="G88" i="15"/>
  <c r="J11" i="30"/>
  <c r="J13" i="30"/>
  <c r="F167" i="28"/>
  <c r="H128" i="5"/>
  <c r="H139" i="5" s="1"/>
  <c r="I93" i="5"/>
  <c r="F21" i="4"/>
  <c r="E72" i="18"/>
  <c r="E74" i="18" s="1"/>
  <c r="E29" i="4" s="1"/>
  <c r="I124" i="15"/>
  <c r="J69" i="15"/>
  <c r="I82" i="15"/>
  <c r="I107" i="15" s="1"/>
  <c r="I71" i="15"/>
  <c r="H126" i="15"/>
  <c r="H84" i="15"/>
  <c r="H109" i="15" s="1"/>
  <c r="H23" i="30"/>
  <c r="D135" i="27"/>
  <c r="G45" i="27"/>
  <c r="H45" i="27"/>
  <c r="F117" i="11"/>
  <c r="H170" i="8"/>
  <c r="H186" i="8" s="1"/>
  <c r="I122" i="8"/>
  <c r="H175" i="8"/>
  <c r="H191" i="8" s="1"/>
  <c r="I127" i="8"/>
  <c r="H202" i="14"/>
  <c r="I82" i="14"/>
  <c r="H150" i="14"/>
  <c r="H182" i="14" s="1"/>
  <c r="H98" i="14"/>
  <c r="H130" i="14" s="1"/>
  <c r="B90" i="23"/>
  <c r="E90" i="23" s="1"/>
  <c r="K97" i="5"/>
  <c r="I38" i="15"/>
  <c r="J76" i="7"/>
  <c r="I87" i="7"/>
  <c r="I43" i="17"/>
  <c r="I75" i="17" s="1"/>
  <c r="I47" i="14"/>
  <c r="J95" i="6"/>
  <c r="I174" i="8"/>
  <c r="J126" i="8"/>
  <c r="J116" i="6"/>
  <c r="I162" i="6"/>
  <c r="H205" i="8"/>
  <c r="H185" i="8"/>
  <c r="I137" i="8"/>
  <c r="H212" i="8"/>
  <c r="H192" i="8"/>
  <c r="I144" i="8"/>
  <c r="F122" i="11"/>
  <c r="F105" i="11"/>
  <c r="G80" i="11"/>
  <c r="H129" i="12"/>
  <c r="I59" i="12"/>
  <c r="H98" i="12"/>
  <c r="H116" i="12" s="1"/>
  <c r="H68" i="12"/>
  <c r="H85" i="12" s="1"/>
  <c r="G41" i="18"/>
  <c r="G66" i="18" s="1"/>
  <c r="G113" i="13"/>
  <c r="G109" i="13"/>
  <c r="G165" i="15"/>
  <c r="G148" i="15"/>
  <c r="G58" i="16"/>
  <c r="K95" i="5"/>
  <c r="J130" i="5"/>
  <c r="H166" i="6"/>
  <c r="I120" i="6"/>
  <c r="H186" i="6"/>
  <c r="E101" i="11"/>
  <c r="E111" i="11" s="1"/>
  <c r="E16" i="4" s="1"/>
  <c r="E118" i="11"/>
  <c r="F76" i="11"/>
  <c r="E86" i="11"/>
  <c r="E128" i="11" s="1"/>
  <c r="K71" i="13"/>
  <c r="H43" i="18"/>
  <c r="H68" i="18" s="1"/>
  <c r="I83" i="13"/>
  <c r="H90" i="13"/>
  <c r="H95" i="13" s="1"/>
  <c r="D82" i="17"/>
  <c r="D84" i="17" s="1"/>
  <c r="G186" i="14"/>
  <c r="I49" i="17"/>
  <c r="I81" i="17" s="1"/>
  <c r="I53" i="14"/>
  <c r="J101" i="6"/>
  <c r="F126" i="28"/>
  <c r="G126" i="28"/>
  <c r="E55" i="16"/>
  <c r="D65" i="16"/>
  <c r="I94" i="7"/>
  <c r="H131" i="7"/>
  <c r="H143" i="7" s="1"/>
  <c r="H204" i="14"/>
  <c r="H152" i="14"/>
  <c r="H184" i="14" s="1"/>
  <c r="I84" i="14"/>
  <c r="H100" i="14"/>
  <c r="H132" i="14" s="1"/>
  <c r="H37" i="18"/>
  <c r="H62" i="18" s="1"/>
  <c r="H98" i="13"/>
  <c r="H109" i="13"/>
  <c r="I77" i="13"/>
  <c r="H201" i="14"/>
  <c r="H149" i="14"/>
  <c r="H181" i="14" s="1"/>
  <c r="I81" i="14"/>
  <c r="H97" i="14"/>
  <c r="H129" i="14" s="1"/>
  <c r="I207" i="8"/>
  <c r="I187" i="8"/>
  <c r="J139" i="8"/>
  <c r="H141" i="7"/>
  <c r="I104" i="7"/>
  <c r="H158" i="7"/>
  <c r="H37" i="17"/>
  <c r="H69" i="17" s="1"/>
  <c r="H41" i="14"/>
  <c r="I89" i="6"/>
  <c r="G83" i="23"/>
  <c r="F83" i="23"/>
  <c r="I62" i="16"/>
  <c r="H198" i="6"/>
  <c r="I132" i="6"/>
  <c r="D21" i="4"/>
  <c r="I93" i="13"/>
  <c r="J72" i="13"/>
  <c r="I41" i="15"/>
  <c r="J79" i="7"/>
  <c r="J109" i="7"/>
  <c r="I163" i="7"/>
  <c r="H144" i="7"/>
  <c r="I107" i="7"/>
  <c r="H161" i="7"/>
  <c r="H164" i="7"/>
  <c r="H147" i="7"/>
  <c r="I110" i="7"/>
  <c r="F121" i="10"/>
  <c r="G90" i="10"/>
  <c r="F141" i="10"/>
  <c r="H94" i="13"/>
  <c r="H101" i="13" s="1"/>
  <c r="I73" i="13"/>
  <c r="I72" i="14"/>
  <c r="H192" i="14"/>
  <c r="H86" i="14"/>
  <c r="H206" i="14" s="1"/>
  <c r="H140" i="14"/>
  <c r="H172" i="14" s="1"/>
  <c r="H88" i="14"/>
  <c r="E22" i="4"/>
  <c r="E23" i="4" s="1"/>
  <c r="G79" i="23"/>
  <c r="F79" i="23"/>
  <c r="D90" i="23"/>
  <c r="G112" i="12"/>
  <c r="G119" i="12" s="1"/>
  <c r="G101" i="12"/>
  <c r="H145" i="15"/>
  <c r="H162" i="15"/>
  <c r="F60" i="31"/>
  <c r="H10" i="30"/>
  <c r="F70" i="29"/>
  <c r="G163" i="15"/>
  <c r="G146" i="15"/>
  <c r="I125" i="5"/>
  <c r="J90" i="5"/>
  <c r="K86" i="5"/>
  <c r="J121" i="5"/>
  <c r="J132" i="5" s="1"/>
  <c r="H135" i="7"/>
  <c r="I98" i="7"/>
  <c r="K169" i="8"/>
  <c r="L121" i="8"/>
  <c r="H135" i="5"/>
  <c r="I100" i="5"/>
  <c r="H151" i="5"/>
  <c r="J28" i="30"/>
  <c r="G71" i="10"/>
  <c r="F85" i="10"/>
  <c r="F36" i="17"/>
  <c r="H128" i="12"/>
  <c r="H97" i="12"/>
  <c r="H115" i="12" s="1"/>
  <c r="I56" i="12"/>
  <c r="H67" i="12"/>
  <c r="H84" i="12" s="1"/>
  <c r="E101" i="13"/>
  <c r="E102" i="13" s="1"/>
  <c r="E95" i="13"/>
  <c r="F72" i="29"/>
  <c r="K138" i="8"/>
  <c r="J206" i="8"/>
  <c r="J136" i="7"/>
  <c r="K99" i="7"/>
  <c r="I113" i="6"/>
  <c r="H159" i="6"/>
  <c r="H174" i="6" s="1"/>
  <c r="H161" i="6"/>
  <c r="H176" i="6" s="1"/>
  <c r="I115" i="6"/>
  <c r="F140" i="10"/>
  <c r="F120" i="10"/>
  <c r="G89" i="10"/>
  <c r="H166" i="15"/>
  <c r="H149" i="15"/>
  <c r="G168" i="15"/>
  <c r="G151" i="15"/>
  <c r="E56" i="23"/>
  <c r="C73" i="29"/>
  <c r="C91" i="29" s="1"/>
  <c r="E91" i="29" s="1"/>
  <c r="E68" i="29"/>
  <c r="H197" i="6"/>
  <c r="H177" i="6"/>
  <c r="I131" i="6"/>
  <c r="F100" i="10"/>
  <c r="F101" i="10" s="1"/>
  <c r="F152" i="10" s="1"/>
  <c r="E151" i="10"/>
  <c r="E131" i="10"/>
  <c r="J41" i="16"/>
  <c r="J62" i="16" s="1"/>
  <c r="J41" i="12"/>
  <c r="K79" i="5"/>
  <c r="G119" i="10"/>
  <c r="H88" i="10"/>
  <c r="G139" i="10"/>
  <c r="H133" i="6"/>
  <c r="H199" i="6" s="1"/>
  <c r="F147" i="10"/>
  <c r="F127" i="10"/>
  <c r="G96" i="10"/>
  <c r="F130" i="28"/>
  <c r="C106" i="29"/>
  <c r="H49" i="15"/>
  <c r="H48" i="15"/>
  <c r="I86" i="7"/>
  <c r="H43" i="15"/>
  <c r="I81" i="7"/>
  <c r="G108" i="13"/>
  <c r="H123" i="15"/>
  <c r="I68" i="15"/>
  <c r="H81" i="15"/>
  <c r="H106" i="15" s="1"/>
  <c r="H163" i="6"/>
  <c r="H178" i="6" s="1"/>
  <c r="I117" i="6"/>
  <c r="D58" i="16"/>
  <c r="D66" i="16" s="1"/>
  <c r="D68" i="16" s="1"/>
  <c r="G199" i="6"/>
  <c r="I89" i="7"/>
  <c r="H126" i="7"/>
  <c r="H138" i="7" s="1"/>
  <c r="I55" i="9"/>
  <c r="H64" i="9"/>
  <c r="F150" i="10"/>
  <c r="F130" i="10"/>
  <c r="G99" i="10"/>
  <c r="D11" i="4"/>
  <c r="H149" i="7" l="1"/>
  <c r="F23" i="4"/>
  <c r="D27" i="4"/>
  <c r="F34" i="4"/>
  <c r="H179" i="6"/>
  <c r="F55" i="16"/>
  <c r="E65" i="16"/>
  <c r="L100" i="12"/>
  <c r="L118" i="12" s="1"/>
  <c r="M61" i="12"/>
  <c r="L70" i="12"/>
  <c r="L87" i="12" s="1"/>
  <c r="K125" i="15"/>
  <c r="L70" i="15"/>
  <c r="K83" i="15"/>
  <c r="K108" i="15" s="1"/>
  <c r="I155" i="5"/>
  <c r="I137" i="5"/>
  <c r="I153" i="5"/>
  <c r="J102" i="5"/>
  <c r="J123" i="5"/>
  <c r="K88" i="5"/>
  <c r="J37" i="16"/>
  <c r="J58" i="16" s="1"/>
  <c r="J37" i="12"/>
  <c r="K75" i="5"/>
  <c r="I64" i="9"/>
  <c r="J55" i="9"/>
  <c r="I123" i="15"/>
  <c r="J68" i="15"/>
  <c r="I81" i="15"/>
  <c r="I106" i="15" s="1"/>
  <c r="K136" i="7"/>
  <c r="L99" i="7"/>
  <c r="K121" i="5"/>
  <c r="L86" i="5"/>
  <c r="H120" i="14"/>
  <c r="H134" i="14" s="1"/>
  <c r="H102" i="14"/>
  <c r="H90" i="10"/>
  <c r="G141" i="10"/>
  <c r="G121" i="10"/>
  <c r="I43" i="18"/>
  <c r="I68" i="18" s="1"/>
  <c r="J83" i="13"/>
  <c r="I90" i="13"/>
  <c r="J38" i="15"/>
  <c r="K76" i="7"/>
  <c r="I126" i="15"/>
  <c r="J71" i="15"/>
  <c r="I84" i="15"/>
  <c r="I109" i="15" s="1"/>
  <c r="J39" i="17"/>
  <c r="J71" i="17" s="1"/>
  <c r="J43" i="14"/>
  <c r="K91" i="6"/>
  <c r="F61" i="18"/>
  <c r="F72" i="18" s="1"/>
  <c r="F74" i="18" s="1"/>
  <c r="F29" i="4" s="1"/>
  <c r="F47" i="18"/>
  <c r="I48" i="17"/>
  <c r="I80" i="17" s="1"/>
  <c r="I52" i="14"/>
  <c r="J100" i="6"/>
  <c r="I155" i="6"/>
  <c r="J109" i="6"/>
  <c r="L129" i="6"/>
  <c r="J92" i="7"/>
  <c r="I129" i="7"/>
  <c r="I141" i="7" s="1"/>
  <c r="H142" i="5"/>
  <c r="G20" i="4"/>
  <c r="J167" i="15"/>
  <c r="J150" i="15"/>
  <c r="I197" i="14"/>
  <c r="J77" i="14"/>
  <c r="I145" i="14"/>
  <c r="I177" i="14" s="1"/>
  <c r="I93" i="14"/>
  <c r="I125" i="14" s="1"/>
  <c r="H148" i="10"/>
  <c r="H128" i="10"/>
  <c r="I97" i="10"/>
  <c r="H101" i="12"/>
  <c r="H112" i="12"/>
  <c r="H119" i="12" s="1"/>
  <c r="I43" i="16"/>
  <c r="J81" i="5"/>
  <c r="M166" i="8"/>
  <c r="N118" i="8"/>
  <c r="H67" i="9"/>
  <c r="G103" i="9"/>
  <c r="G88" i="9"/>
  <c r="I188" i="6"/>
  <c r="I168" i="6"/>
  <c r="J122" i="6"/>
  <c r="L156" i="8"/>
  <c r="K172" i="8"/>
  <c r="G53" i="20"/>
  <c r="G54" i="20" s="1"/>
  <c r="G34" i="4" s="1"/>
  <c r="H46" i="20"/>
  <c r="F54" i="16"/>
  <c r="E64" i="16"/>
  <c r="I160" i="6"/>
  <c r="I175" i="6" s="1"/>
  <c r="J114" i="6"/>
  <c r="H43" i="12"/>
  <c r="F143" i="10"/>
  <c r="F123" i="10"/>
  <c r="F132" i="10" s="1"/>
  <c r="G92" i="10"/>
  <c r="G101" i="10" s="1"/>
  <c r="G152" i="10" s="1"/>
  <c r="K157" i="6"/>
  <c r="L111" i="6"/>
  <c r="I46" i="17"/>
  <c r="I78" i="17" s="1"/>
  <c r="I50" i="14"/>
  <c r="J98" i="6"/>
  <c r="I195" i="6"/>
  <c r="G11" i="4"/>
  <c r="I177" i="6"/>
  <c r="I197" i="6"/>
  <c r="J131" i="6"/>
  <c r="I209" i="8"/>
  <c r="I189" i="8"/>
  <c r="J141" i="8"/>
  <c r="H97" i="13"/>
  <c r="H102" i="13" s="1"/>
  <c r="I45" i="15"/>
  <c r="J83" i="7"/>
  <c r="K122" i="5"/>
  <c r="L87" i="5"/>
  <c r="J42" i="15"/>
  <c r="K80" i="7"/>
  <c r="I44" i="18"/>
  <c r="I69" i="18" s="1"/>
  <c r="J84" i="13"/>
  <c r="D29" i="4"/>
  <c r="G106" i="9"/>
  <c r="G91" i="9"/>
  <c r="G108" i="9"/>
  <c r="H70" i="9"/>
  <c r="I133" i="5"/>
  <c r="J98" i="5"/>
  <c r="I149" i="5"/>
  <c r="I107" i="5"/>
  <c r="L23" i="30"/>
  <c r="J154" i="5"/>
  <c r="J152" i="5"/>
  <c r="K101" i="5"/>
  <c r="K55" i="12"/>
  <c r="J96" i="12"/>
  <c r="J114" i="12" s="1"/>
  <c r="J66" i="12"/>
  <c r="J83" i="12" s="1"/>
  <c r="H98" i="10"/>
  <c r="G149" i="10"/>
  <c r="G129" i="10"/>
  <c r="H67" i="13"/>
  <c r="H113" i="13" s="1"/>
  <c r="I62" i="13"/>
  <c r="G213" i="8"/>
  <c r="K42" i="17"/>
  <c r="K74" i="17" s="1"/>
  <c r="K46" i="14"/>
  <c r="L94" i="6"/>
  <c r="K153" i="6"/>
  <c r="L107" i="6"/>
  <c r="J46" i="15"/>
  <c r="K84" i="7"/>
  <c r="L91" i="7"/>
  <c r="J128" i="15"/>
  <c r="K73" i="15"/>
  <c r="J86" i="15"/>
  <c r="J111" i="15" s="1"/>
  <c r="I119" i="15"/>
  <c r="J64" i="15"/>
  <c r="I75" i="15"/>
  <c r="I77" i="15"/>
  <c r="I40" i="14"/>
  <c r="I102" i="6"/>
  <c r="J88" i="6"/>
  <c r="I134" i="5"/>
  <c r="I150" i="5"/>
  <c r="J99" i="5"/>
  <c r="N104" i="6"/>
  <c r="M150" i="6"/>
  <c r="I196" i="14"/>
  <c r="I144" i="14"/>
  <c r="I176" i="14" s="1"/>
  <c r="J76" i="14"/>
  <c r="I92" i="14"/>
  <c r="I124" i="14" s="1"/>
  <c r="H57" i="16"/>
  <c r="H45" i="16"/>
  <c r="J176" i="8"/>
  <c r="K128" i="8"/>
  <c r="I159" i="6"/>
  <c r="I174" i="6" s="1"/>
  <c r="J113" i="6"/>
  <c r="I37" i="17"/>
  <c r="I69" i="17" s="1"/>
  <c r="I41" i="14"/>
  <c r="J89" i="6"/>
  <c r="G105" i="11"/>
  <c r="H80" i="11"/>
  <c r="G122" i="11"/>
  <c r="K25" i="30"/>
  <c r="K29" i="30" s="1"/>
  <c r="K27" i="30"/>
  <c r="I40" i="18"/>
  <c r="I65" i="18" s="1"/>
  <c r="J80" i="13"/>
  <c r="I112" i="13"/>
  <c r="H88" i="15"/>
  <c r="H102" i="15"/>
  <c r="H113" i="15" s="1"/>
  <c r="H186" i="14"/>
  <c r="I126" i="7"/>
  <c r="I138" i="7" s="1"/>
  <c r="J89" i="7"/>
  <c r="G127" i="10"/>
  <c r="H96" i="10"/>
  <c r="G147" i="10"/>
  <c r="J110" i="7"/>
  <c r="I164" i="7"/>
  <c r="J163" i="7"/>
  <c r="K109" i="7"/>
  <c r="J49" i="17"/>
  <c r="J81" i="17" s="1"/>
  <c r="J53" i="14"/>
  <c r="K101" i="6"/>
  <c r="L71" i="13"/>
  <c r="I212" i="8"/>
  <c r="I192" i="8"/>
  <c r="J144" i="8"/>
  <c r="J174" i="8"/>
  <c r="K126" i="8"/>
  <c r="K132" i="5"/>
  <c r="L97" i="5"/>
  <c r="J82" i="14"/>
  <c r="I150" i="14"/>
  <c r="I182" i="14" s="1"/>
  <c r="I202" i="14"/>
  <c r="I98" i="14"/>
  <c r="I130" i="14" s="1"/>
  <c r="K69" i="15"/>
  <c r="J124" i="15"/>
  <c r="J82" i="15"/>
  <c r="J107" i="15" s="1"/>
  <c r="J15" i="30"/>
  <c r="I145" i="15"/>
  <c r="I162" i="15"/>
  <c r="H62" i="11"/>
  <c r="G73" i="11"/>
  <c r="G36" i="18"/>
  <c r="I44" i="16"/>
  <c r="J82" i="5"/>
  <c r="J104" i="5"/>
  <c r="I157" i="5"/>
  <c r="I127" i="7"/>
  <c r="J90" i="7"/>
  <c r="H79" i="27"/>
  <c r="G79" i="27"/>
  <c r="I38" i="17"/>
  <c r="I70" i="17" s="1"/>
  <c r="I42" i="14"/>
  <c r="J90" i="6"/>
  <c r="I187" i="6"/>
  <c r="J185" i="6"/>
  <c r="J165" i="6"/>
  <c r="K119" i="6"/>
  <c r="J105" i="6"/>
  <c r="I151" i="6"/>
  <c r="I166" i="6" s="1"/>
  <c r="K19" i="30"/>
  <c r="K28" i="30" s="1"/>
  <c r="I99" i="8"/>
  <c r="H113" i="8"/>
  <c r="K5" i="30" s="1"/>
  <c r="G138" i="10"/>
  <c r="G118" i="10"/>
  <c r="H87" i="10"/>
  <c r="J14" i="30"/>
  <c r="L103" i="5"/>
  <c r="F109" i="9"/>
  <c r="F107" i="9"/>
  <c r="G71" i="9"/>
  <c r="F92" i="9"/>
  <c r="J211" i="8"/>
  <c r="K143" i="8"/>
  <c r="I200" i="14"/>
  <c r="J80" i="14"/>
  <c r="I96" i="14"/>
  <c r="I128" i="14" s="1"/>
  <c r="I148" i="14"/>
  <c r="I180" i="14" s="1"/>
  <c r="J203" i="8"/>
  <c r="K135" i="8"/>
  <c r="J97" i="7"/>
  <c r="I134" i="7"/>
  <c r="I146" i="7" s="1"/>
  <c r="G107" i="11"/>
  <c r="H82" i="11"/>
  <c r="G124" i="11"/>
  <c r="L44" i="15"/>
  <c r="M82" i="7"/>
  <c r="I153" i="15"/>
  <c r="I170" i="15"/>
  <c r="H161" i="15"/>
  <c r="H144" i="15"/>
  <c r="H130" i="15"/>
  <c r="H172" i="15" s="1"/>
  <c r="H54" i="14"/>
  <c r="I44" i="17"/>
  <c r="I76" i="17" s="1"/>
  <c r="I48" i="14"/>
  <c r="J96" i="6"/>
  <c r="H154" i="14"/>
  <c r="H179" i="14"/>
  <c r="I38" i="18"/>
  <c r="I63" i="18" s="1"/>
  <c r="J78" i="13"/>
  <c r="I110" i="13"/>
  <c r="K20" i="30"/>
  <c r="K128" i="6"/>
  <c r="H148" i="15"/>
  <c r="H165" i="15"/>
  <c r="I128" i="12"/>
  <c r="I97" i="12"/>
  <c r="I115" i="12" s="1"/>
  <c r="I67" i="12"/>
  <c r="I84" i="12" s="1"/>
  <c r="J56" i="12"/>
  <c r="J120" i="6"/>
  <c r="I186" i="6"/>
  <c r="J120" i="15"/>
  <c r="K65" i="15"/>
  <c r="J78" i="15"/>
  <c r="J103" i="15" s="1"/>
  <c r="I43" i="15"/>
  <c r="J81" i="7"/>
  <c r="K206" i="8"/>
  <c r="L138" i="8"/>
  <c r="L169" i="8"/>
  <c r="M121" i="8"/>
  <c r="J41" i="15"/>
  <c r="K79" i="7"/>
  <c r="J104" i="7"/>
  <c r="I158" i="7"/>
  <c r="I166" i="15"/>
  <c r="I149" i="15"/>
  <c r="I130" i="12"/>
  <c r="I99" i="12"/>
  <c r="I117" i="12" s="1"/>
  <c r="J60" i="12"/>
  <c r="I69" i="12"/>
  <c r="I86" i="12" s="1"/>
  <c r="G94" i="9"/>
  <c r="H73" i="9"/>
  <c r="I210" i="8"/>
  <c r="I190" i="8"/>
  <c r="J142" i="8"/>
  <c r="G145" i="10"/>
  <c r="G125" i="10"/>
  <c r="H94" i="10"/>
  <c r="J47" i="17"/>
  <c r="J79" i="17" s="1"/>
  <c r="J51" i="14"/>
  <c r="K99" i="6"/>
  <c r="I133" i="6"/>
  <c r="G22" i="4"/>
  <c r="D181" i="28"/>
  <c r="G144" i="28"/>
  <c r="J172" i="6"/>
  <c r="J192" i="6"/>
  <c r="K126" i="6"/>
  <c r="I40" i="15"/>
  <c r="J78" i="7"/>
  <c r="J74" i="14"/>
  <c r="I142" i="14"/>
  <c r="I174" i="14" s="1"/>
  <c r="I194" i="14"/>
  <c r="I90" i="14"/>
  <c r="I122" i="14" s="1"/>
  <c r="I157" i="7"/>
  <c r="J103" i="7"/>
  <c r="H110" i="11"/>
  <c r="I85" i="11"/>
  <c r="H127" i="11"/>
  <c r="J74" i="15"/>
  <c r="I129" i="15"/>
  <c r="I87" i="15"/>
  <c r="I112" i="15" s="1"/>
  <c r="J127" i="5"/>
  <c r="J138" i="5" s="1"/>
  <c r="K92" i="5"/>
  <c r="I40" i="17"/>
  <c r="I72" i="17" s="1"/>
  <c r="I44" i="14"/>
  <c r="J92" i="6"/>
  <c r="F120" i="11"/>
  <c r="F103" i="11"/>
  <c r="G78" i="11"/>
  <c r="F125" i="11"/>
  <c r="F108" i="11"/>
  <c r="G83" i="11"/>
  <c r="I195" i="14"/>
  <c r="J75" i="14"/>
  <c r="I143" i="14"/>
  <c r="I175" i="14" s="1"/>
  <c r="I91" i="14"/>
  <c r="I123" i="14" s="1"/>
  <c r="K168" i="8"/>
  <c r="L120" i="8"/>
  <c r="H166" i="7"/>
  <c r="I199" i="14"/>
  <c r="I147" i="14"/>
  <c r="J79" i="14"/>
  <c r="I95" i="14"/>
  <c r="I127" i="14" s="1"/>
  <c r="I122" i="15"/>
  <c r="J67" i="15"/>
  <c r="I80" i="15"/>
  <c r="I105" i="15" s="1"/>
  <c r="H69" i="9"/>
  <c r="G90" i="9"/>
  <c r="G105" i="9"/>
  <c r="H168" i="15"/>
  <c r="H151" i="15"/>
  <c r="J126" i="5"/>
  <c r="K91" i="5"/>
  <c r="I165" i="7"/>
  <c r="I148" i="7"/>
  <c r="J111" i="7"/>
  <c r="I151" i="5"/>
  <c r="J100" i="5"/>
  <c r="I135" i="5"/>
  <c r="I201" i="14"/>
  <c r="I149" i="14"/>
  <c r="I181" i="14" s="1"/>
  <c r="J81" i="14"/>
  <c r="I97" i="14"/>
  <c r="I129" i="14" s="1"/>
  <c r="I37" i="18"/>
  <c r="I62" i="18" s="1"/>
  <c r="J77" i="13"/>
  <c r="I98" i="13"/>
  <c r="I109" i="13"/>
  <c r="J43" i="17"/>
  <c r="J75" i="17" s="1"/>
  <c r="J47" i="14"/>
  <c r="K95" i="6"/>
  <c r="J127" i="8"/>
  <c r="I175" i="8"/>
  <c r="I191" i="8" s="1"/>
  <c r="I204" i="8"/>
  <c r="I184" i="8"/>
  <c r="J136" i="8"/>
  <c r="G21" i="4"/>
  <c r="I108" i="13"/>
  <c r="I81" i="13"/>
  <c r="J76" i="13"/>
  <c r="H193" i="8"/>
  <c r="J154" i="6"/>
  <c r="K108" i="6"/>
  <c r="I202" i="8"/>
  <c r="J134" i="8"/>
  <c r="I182" i="8"/>
  <c r="J191" i="6"/>
  <c r="K125" i="6"/>
  <c r="I20" i="30"/>
  <c r="H171" i="15"/>
  <c r="H154" i="15"/>
  <c r="L105" i="5"/>
  <c r="I45" i="18"/>
  <c r="I70" i="18" s="1"/>
  <c r="J85" i="13"/>
  <c r="I92" i="13"/>
  <c r="I99" i="13" s="1"/>
  <c r="H104" i="9"/>
  <c r="H89" i="9"/>
  <c r="I68" i="9"/>
  <c r="I169" i="6"/>
  <c r="J123" i="6"/>
  <c r="I189" i="6"/>
  <c r="L121" i="6"/>
  <c r="H100" i="11"/>
  <c r="I75" i="11"/>
  <c r="H117" i="11"/>
  <c r="G27" i="30"/>
  <c r="G25" i="30"/>
  <c r="G29" i="30" s="1"/>
  <c r="J119" i="8"/>
  <c r="I167" i="8"/>
  <c r="I183" i="8" s="1"/>
  <c r="H42" i="18"/>
  <c r="H67" i="18" s="1"/>
  <c r="I68" i="11"/>
  <c r="J116" i="8"/>
  <c r="I164" i="8"/>
  <c r="I180" i="8" s="1"/>
  <c r="G155" i="15"/>
  <c r="I141" i="5"/>
  <c r="J106" i="5"/>
  <c r="I162" i="7"/>
  <c r="I145" i="7"/>
  <c r="J108" i="7"/>
  <c r="J101" i="7"/>
  <c r="I112" i="7"/>
  <c r="I166" i="7" s="1"/>
  <c r="I155" i="7"/>
  <c r="F29" i="30"/>
  <c r="H147" i="15"/>
  <c r="H164" i="15"/>
  <c r="J116" i="7"/>
  <c r="I128" i="7"/>
  <c r="I140" i="7" s="1"/>
  <c r="I196" i="6"/>
  <c r="J130" i="6"/>
  <c r="G142" i="10"/>
  <c r="G122" i="10"/>
  <c r="H91" i="10"/>
  <c r="H119" i="10"/>
  <c r="I88" i="10"/>
  <c r="H139" i="10"/>
  <c r="E17" i="4"/>
  <c r="H102" i="11"/>
  <c r="I77" i="11"/>
  <c r="H119" i="11"/>
  <c r="G95" i="9"/>
  <c r="H74" i="9"/>
  <c r="N69" i="13"/>
  <c r="H169" i="15"/>
  <c r="H152" i="15"/>
  <c r="J29" i="30"/>
  <c r="K6" i="30"/>
  <c r="G140" i="10"/>
  <c r="G120" i="10"/>
  <c r="H89" i="10"/>
  <c r="K90" i="5"/>
  <c r="J125" i="5"/>
  <c r="J136" i="5" s="1"/>
  <c r="I198" i="6"/>
  <c r="I178" i="6"/>
  <c r="J132" i="6"/>
  <c r="J162" i="6"/>
  <c r="K116" i="6"/>
  <c r="G150" i="10"/>
  <c r="G130" i="10"/>
  <c r="H99" i="10"/>
  <c r="F50" i="17"/>
  <c r="F68" i="17"/>
  <c r="F82" i="17" s="1"/>
  <c r="F84" i="17" s="1"/>
  <c r="F28" i="4" s="1"/>
  <c r="G90" i="23"/>
  <c r="F90" i="23"/>
  <c r="I163" i="6"/>
  <c r="J117" i="6"/>
  <c r="I48" i="15"/>
  <c r="I49" i="15" s="1"/>
  <c r="J86" i="7"/>
  <c r="I135" i="7"/>
  <c r="I147" i="7" s="1"/>
  <c r="J98" i="7"/>
  <c r="I94" i="13"/>
  <c r="I101" i="13" s="1"/>
  <c r="J73" i="13"/>
  <c r="J93" i="13"/>
  <c r="J100" i="13" s="1"/>
  <c r="K72" i="13"/>
  <c r="J207" i="8"/>
  <c r="K139" i="8"/>
  <c r="I131" i="7"/>
  <c r="I143" i="7" s="1"/>
  <c r="J94" i="7"/>
  <c r="F118" i="11"/>
  <c r="G76" i="11"/>
  <c r="F101" i="11"/>
  <c r="F86" i="11"/>
  <c r="F128" i="11" s="1"/>
  <c r="I129" i="12"/>
  <c r="I98" i="12"/>
  <c r="I116" i="12" s="1"/>
  <c r="J59" i="12"/>
  <c r="I68" i="12"/>
  <c r="I85" i="12" s="1"/>
  <c r="I205" i="8"/>
  <c r="J137" i="8"/>
  <c r="I185" i="8"/>
  <c r="H25" i="30"/>
  <c r="H29" i="30" s="1"/>
  <c r="H27" i="30"/>
  <c r="J39" i="18"/>
  <c r="J64" i="18" s="1"/>
  <c r="J111" i="13"/>
  <c r="K79" i="13"/>
  <c r="C199" i="28"/>
  <c r="E199" i="28" s="1"/>
  <c r="E181" i="28"/>
  <c r="I200" i="8"/>
  <c r="J132" i="8"/>
  <c r="J156" i="6"/>
  <c r="J171" i="6" s="1"/>
  <c r="K110" i="6"/>
  <c r="H41" i="18"/>
  <c r="H66" i="18" s="1"/>
  <c r="K10" i="30"/>
  <c r="K14" i="30" s="1"/>
  <c r="H213" i="8"/>
  <c r="F126" i="11"/>
  <c r="G84" i="11"/>
  <c r="F109" i="11"/>
  <c r="I208" i="8"/>
  <c r="I188" i="8"/>
  <c r="J140" i="8"/>
  <c r="K129" i="5"/>
  <c r="K140" i="5" s="1"/>
  <c r="L94" i="5"/>
  <c r="I94" i="12"/>
  <c r="I62" i="12"/>
  <c r="I125" i="12"/>
  <c r="J53" i="12"/>
  <c r="I64" i="12"/>
  <c r="K40" i="16"/>
  <c r="K61" i="16" s="1"/>
  <c r="K40" i="12"/>
  <c r="L78" i="5"/>
  <c r="J41" i="17"/>
  <c r="J73" i="17" s="1"/>
  <c r="J45" i="14"/>
  <c r="K93" i="6"/>
  <c r="I124" i="5"/>
  <c r="J89" i="5"/>
  <c r="N124" i="8"/>
  <c r="J46" i="18"/>
  <c r="J71" i="18" s="1"/>
  <c r="K86" i="13"/>
  <c r="J193" i="6"/>
  <c r="J173" i="6"/>
  <c r="K127" i="6"/>
  <c r="I132" i="7"/>
  <c r="J95" i="7"/>
  <c r="G146" i="10"/>
  <c r="H95" i="10"/>
  <c r="G126" i="10"/>
  <c r="K158" i="6"/>
  <c r="L112" i="6"/>
  <c r="I190" i="6"/>
  <c r="I170" i="6"/>
  <c r="J124" i="6"/>
  <c r="E66" i="16"/>
  <c r="E68" i="16" s="1"/>
  <c r="E27" i="4" s="1"/>
  <c r="E30" i="4" s="1"/>
  <c r="E33" i="4" s="1"/>
  <c r="E35" i="4" s="1"/>
  <c r="I38" i="16"/>
  <c r="I59" i="16" s="1"/>
  <c r="I38" i="12"/>
  <c r="J76" i="5"/>
  <c r="I153" i="14"/>
  <c r="I185" i="14" s="1"/>
  <c r="I205" i="14"/>
  <c r="J85" i="14"/>
  <c r="I101" i="14"/>
  <c r="I133" i="14" s="1"/>
  <c r="K78" i="14"/>
  <c r="J198" i="14"/>
  <c r="J146" i="14"/>
  <c r="J178" i="14" s="1"/>
  <c r="J94" i="14"/>
  <c r="J126" i="14" s="1"/>
  <c r="F123" i="11"/>
  <c r="F106" i="11"/>
  <c r="G81" i="11"/>
  <c r="K133" i="7"/>
  <c r="L96" i="7"/>
  <c r="I160" i="7"/>
  <c r="J106" i="7"/>
  <c r="I47" i="15"/>
  <c r="J85" i="7"/>
  <c r="I152" i="6"/>
  <c r="I167" i="6" s="1"/>
  <c r="J106" i="6"/>
  <c r="G91" i="29"/>
  <c r="F91" i="29"/>
  <c r="I170" i="8"/>
  <c r="I186" i="8" s="1"/>
  <c r="J122" i="8"/>
  <c r="H163" i="15"/>
  <c r="H146" i="15"/>
  <c r="I42" i="16"/>
  <c r="I63" i="16" s="1"/>
  <c r="I42" i="12"/>
  <c r="J80" i="5"/>
  <c r="I131" i="12"/>
  <c r="I156" i="5"/>
  <c r="J171" i="8"/>
  <c r="J187" i="8" s="1"/>
  <c r="K123" i="8"/>
  <c r="I91" i="13"/>
  <c r="J70" i="13"/>
  <c r="K41" i="16"/>
  <c r="K62" i="16" s="1"/>
  <c r="K41" i="12"/>
  <c r="L79" i="5"/>
  <c r="I204" i="14"/>
  <c r="I152" i="14"/>
  <c r="I184" i="14" s="1"/>
  <c r="J84" i="14"/>
  <c r="I100" i="14"/>
  <c r="I132" i="14" s="1"/>
  <c r="I161" i="6"/>
  <c r="I176" i="6" s="1"/>
  <c r="J115" i="6"/>
  <c r="J72" i="14"/>
  <c r="I192" i="14"/>
  <c r="I86" i="14"/>
  <c r="I88" i="14"/>
  <c r="I140" i="14"/>
  <c r="I172" i="14" s="1"/>
  <c r="K130" i="5"/>
  <c r="L95" i="5"/>
  <c r="F151" i="10"/>
  <c r="F131" i="10"/>
  <c r="G100" i="10"/>
  <c r="H71" i="10"/>
  <c r="G85" i="10"/>
  <c r="G36" i="17"/>
  <c r="H14" i="30"/>
  <c r="H11" i="30"/>
  <c r="H15" i="30" s="1"/>
  <c r="I144" i="7"/>
  <c r="J107" i="7"/>
  <c r="I161" i="7"/>
  <c r="D28" i="4"/>
  <c r="I128" i="5"/>
  <c r="I139" i="5" s="1"/>
  <c r="J93" i="5"/>
  <c r="J66" i="15"/>
  <c r="I121" i="15"/>
  <c r="I79" i="15"/>
  <c r="I104" i="15" s="1"/>
  <c r="I193" i="14"/>
  <c r="I141" i="14"/>
  <c r="I173" i="14" s="1"/>
  <c r="J73" i="14"/>
  <c r="I89" i="14"/>
  <c r="I121" i="14" s="1"/>
  <c r="F87" i="9"/>
  <c r="G66" i="9"/>
  <c r="F102" i="9"/>
  <c r="F75" i="9"/>
  <c r="F111" i="9" s="1"/>
  <c r="H108" i="13"/>
  <c r="I165" i="8"/>
  <c r="J117" i="8"/>
  <c r="J173" i="8"/>
  <c r="K125" i="8"/>
  <c r="L24" i="30"/>
  <c r="I199" i="8"/>
  <c r="I145" i="8"/>
  <c r="I179" i="8"/>
  <c r="J131" i="8"/>
  <c r="K9" i="30"/>
  <c r="H158" i="5"/>
  <c r="D23" i="4"/>
  <c r="I130" i="7"/>
  <c r="I142" i="7" s="1"/>
  <c r="J93" i="7"/>
  <c r="J163" i="8"/>
  <c r="K115" i="8"/>
  <c r="I139" i="7"/>
  <c r="J102" i="7"/>
  <c r="I156" i="7"/>
  <c r="H81" i="12"/>
  <c r="H88" i="12" s="1"/>
  <c r="H71" i="12"/>
  <c r="I203" i="14"/>
  <c r="J83" i="14"/>
  <c r="I151" i="14"/>
  <c r="I183" i="14" s="1"/>
  <c r="I99" i="14"/>
  <c r="I131" i="14" s="1"/>
  <c r="I159" i="7"/>
  <c r="J105" i="7"/>
  <c r="I45" i="17"/>
  <c r="I77" i="17" s="1"/>
  <c r="I49" i="14"/>
  <c r="J97" i="6"/>
  <c r="J194" i="6" s="1"/>
  <c r="G117" i="11"/>
  <c r="I127" i="15"/>
  <c r="J72" i="15"/>
  <c r="I85" i="15"/>
  <c r="I110" i="15" s="1"/>
  <c r="F124" i="10"/>
  <c r="G93" i="10"/>
  <c r="F144" i="10"/>
  <c r="I126" i="12"/>
  <c r="J54" i="12"/>
  <c r="I95" i="12"/>
  <c r="I113" i="12" s="1"/>
  <c r="I65" i="12"/>
  <c r="I82" i="12" s="1"/>
  <c r="J39" i="16"/>
  <c r="J60" i="16" s="1"/>
  <c r="J39" i="12"/>
  <c r="K77" i="5"/>
  <c r="G14" i="30"/>
  <c r="G11" i="30"/>
  <c r="G121" i="11"/>
  <c r="H79" i="11"/>
  <c r="G104" i="11"/>
  <c r="L18" i="30"/>
  <c r="I36" i="16"/>
  <c r="I36" i="12"/>
  <c r="I43" i="12" s="1"/>
  <c r="I84" i="5"/>
  <c r="L4" i="30" s="1"/>
  <c r="J74" i="5"/>
  <c r="I148" i="5"/>
  <c r="I39" i="15"/>
  <c r="J77" i="7"/>
  <c r="I201" i="8"/>
  <c r="I181" i="8"/>
  <c r="J133" i="8"/>
  <c r="G72" i="9"/>
  <c r="F110" i="9"/>
  <c r="F93" i="9"/>
  <c r="I149" i="7" l="1"/>
  <c r="I10" i="4" s="1"/>
  <c r="F15" i="4"/>
  <c r="I179" i="6"/>
  <c r="I9" i="4" s="1"/>
  <c r="L78" i="14"/>
  <c r="K198" i="14"/>
  <c r="K146" i="14"/>
  <c r="K178" i="14" s="1"/>
  <c r="K94" i="14"/>
  <c r="K126" i="14" s="1"/>
  <c r="L40" i="16"/>
  <c r="L61" i="16" s="1"/>
  <c r="L40" i="12"/>
  <c r="M78" i="5"/>
  <c r="H94" i="9"/>
  <c r="I73" i="9"/>
  <c r="J44" i="16"/>
  <c r="K82" i="5"/>
  <c r="J190" i="6"/>
  <c r="K124" i="6"/>
  <c r="J163" i="6"/>
  <c r="K117" i="6"/>
  <c r="I25" i="30"/>
  <c r="I29" i="30" s="1"/>
  <c r="J129" i="15"/>
  <c r="K74" i="15"/>
  <c r="J87" i="15"/>
  <c r="J112" i="15" s="1"/>
  <c r="J153" i="15"/>
  <c r="J170" i="15"/>
  <c r="J155" i="6"/>
  <c r="J170" i="6" s="1"/>
  <c r="K109" i="6"/>
  <c r="L121" i="5"/>
  <c r="L132" i="5" s="1"/>
  <c r="M86" i="5"/>
  <c r="J121" i="15"/>
  <c r="K66" i="15"/>
  <c r="J79" i="15"/>
  <c r="J104" i="15" s="1"/>
  <c r="G123" i="11"/>
  <c r="G106" i="11"/>
  <c r="H81" i="11"/>
  <c r="J153" i="14"/>
  <c r="J185" i="14" s="1"/>
  <c r="K85" i="14"/>
  <c r="J205" i="14"/>
  <c r="J101" i="14"/>
  <c r="J133" i="14" s="1"/>
  <c r="J188" i="8"/>
  <c r="J208" i="8"/>
  <c r="K140" i="8"/>
  <c r="J205" i="8"/>
  <c r="K137" i="8"/>
  <c r="J185" i="8"/>
  <c r="G118" i="11"/>
  <c r="G101" i="11"/>
  <c r="H76" i="11"/>
  <c r="G86" i="11"/>
  <c r="G128" i="11" s="1"/>
  <c r="K162" i="6"/>
  <c r="L116" i="6"/>
  <c r="I139" i="10"/>
  <c r="I119" i="10"/>
  <c r="J88" i="10"/>
  <c r="J45" i="18"/>
  <c r="J70" i="18" s="1"/>
  <c r="K85" i="13"/>
  <c r="J92" i="13"/>
  <c r="J135" i="5"/>
  <c r="J151" i="5"/>
  <c r="K100" i="5"/>
  <c r="J147" i="14"/>
  <c r="K79" i="14"/>
  <c r="J199" i="14"/>
  <c r="J95" i="14"/>
  <c r="J127" i="14" s="1"/>
  <c r="J195" i="14"/>
  <c r="K75" i="14"/>
  <c r="J143" i="14"/>
  <c r="J175" i="14" s="1"/>
  <c r="J91" i="14"/>
  <c r="J123" i="14" s="1"/>
  <c r="J40" i="17"/>
  <c r="J72" i="17" s="1"/>
  <c r="J44" i="14"/>
  <c r="K92" i="6"/>
  <c r="J43" i="15"/>
  <c r="K81" i="7"/>
  <c r="J186" i="6"/>
  <c r="K120" i="6"/>
  <c r="J38" i="18"/>
  <c r="J63" i="18" s="1"/>
  <c r="K78" i="13"/>
  <c r="J99" i="13"/>
  <c r="J110" i="13"/>
  <c r="H124" i="11"/>
  <c r="I82" i="11"/>
  <c r="H107" i="11"/>
  <c r="J133" i="6"/>
  <c r="G61" i="18"/>
  <c r="G72" i="18" s="1"/>
  <c r="G74" i="18" s="1"/>
  <c r="G47" i="18"/>
  <c r="K124" i="15"/>
  <c r="L69" i="15"/>
  <c r="K82" i="15"/>
  <c r="K107" i="15" s="1"/>
  <c r="J147" i="7"/>
  <c r="K110" i="7"/>
  <c r="J164" i="7"/>
  <c r="K176" i="8"/>
  <c r="L128" i="8"/>
  <c r="H106" i="9"/>
  <c r="H91" i="9"/>
  <c r="H108" i="9"/>
  <c r="I70" i="9"/>
  <c r="K42" i="15"/>
  <c r="L80" i="7"/>
  <c r="J46" i="17"/>
  <c r="J78" i="17" s="1"/>
  <c r="J50" i="14"/>
  <c r="K98" i="6"/>
  <c r="J195" i="6"/>
  <c r="O118" i="8"/>
  <c r="N166" i="8"/>
  <c r="H8" i="4"/>
  <c r="J43" i="18"/>
  <c r="J68" i="18" s="1"/>
  <c r="K83" i="13"/>
  <c r="J90" i="13"/>
  <c r="K37" i="16"/>
  <c r="K58" i="16" s="1"/>
  <c r="K37" i="12"/>
  <c r="L75" i="5"/>
  <c r="D30" i="4"/>
  <c r="D33" i="4" s="1"/>
  <c r="D35" i="4" s="1"/>
  <c r="J192" i="14"/>
  <c r="K72" i="14"/>
  <c r="J86" i="14"/>
  <c r="J140" i="14"/>
  <c r="J172" i="14" s="1"/>
  <c r="J88" i="14"/>
  <c r="L133" i="7"/>
  <c r="M96" i="7"/>
  <c r="L129" i="5"/>
  <c r="M94" i="5"/>
  <c r="H138" i="10"/>
  <c r="H118" i="10"/>
  <c r="I87" i="10"/>
  <c r="J44" i="18"/>
  <c r="J69" i="18" s="1"/>
  <c r="K84" i="13"/>
  <c r="I148" i="10"/>
  <c r="I128" i="10"/>
  <c r="J97" i="10"/>
  <c r="G124" i="10"/>
  <c r="H93" i="10"/>
  <c r="G144" i="10"/>
  <c r="J152" i="6"/>
  <c r="J167" i="6" s="1"/>
  <c r="K106" i="6"/>
  <c r="O124" i="8"/>
  <c r="H140" i="10"/>
  <c r="H120" i="10"/>
  <c r="I89" i="10"/>
  <c r="J141" i="5"/>
  <c r="K106" i="5"/>
  <c r="K191" i="6"/>
  <c r="L125" i="6"/>
  <c r="G109" i="9"/>
  <c r="G107" i="9"/>
  <c r="G92" i="9"/>
  <c r="H71" i="9"/>
  <c r="K185" i="6"/>
  <c r="K165" i="6"/>
  <c r="L119" i="6"/>
  <c r="J166" i="15"/>
  <c r="J149" i="15"/>
  <c r="M71" i="13"/>
  <c r="I54" i="14"/>
  <c r="L42" i="17"/>
  <c r="L74" i="17" s="1"/>
  <c r="L46" i="14"/>
  <c r="M94" i="6"/>
  <c r="I142" i="5"/>
  <c r="I8" i="4" s="1"/>
  <c r="I11" i="4" s="1"/>
  <c r="J209" i="8"/>
  <c r="J189" i="8"/>
  <c r="K141" i="8"/>
  <c r="I67" i="9"/>
  <c r="H103" i="9"/>
  <c r="H88" i="9"/>
  <c r="G23" i="4"/>
  <c r="I95" i="13"/>
  <c r="I57" i="16"/>
  <c r="I45" i="16"/>
  <c r="K105" i="7"/>
  <c r="J159" i="7"/>
  <c r="H20" i="4"/>
  <c r="G102" i="9"/>
  <c r="G75" i="9"/>
  <c r="G111" i="9" s="1"/>
  <c r="G87" i="9"/>
  <c r="H66" i="9"/>
  <c r="L130" i="5"/>
  <c r="M95" i="5"/>
  <c r="K70" i="13"/>
  <c r="J91" i="13"/>
  <c r="J98" i="13" s="1"/>
  <c r="L20" i="30"/>
  <c r="L125" i="8"/>
  <c r="K173" i="8"/>
  <c r="F96" i="9"/>
  <c r="J128" i="5"/>
  <c r="K93" i="5"/>
  <c r="J47" i="15"/>
  <c r="K85" i="7"/>
  <c r="K193" i="6"/>
  <c r="K173" i="6"/>
  <c r="L127" i="6"/>
  <c r="J124" i="5"/>
  <c r="K89" i="5"/>
  <c r="I81" i="12"/>
  <c r="I88" i="12" s="1"/>
  <c r="I71" i="12"/>
  <c r="J94" i="13"/>
  <c r="K73" i="13"/>
  <c r="H95" i="9"/>
  <c r="I74" i="9"/>
  <c r="I97" i="13"/>
  <c r="I102" i="13" s="1"/>
  <c r="J37" i="18"/>
  <c r="J62" i="18" s="1"/>
  <c r="J109" i="13"/>
  <c r="K77" i="13"/>
  <c r="I154" i="14"/>
  <c r="I179" i="14"/>
  <c r="I186" i="14" s="1"/>
  <c r="I127" i="11"/>
  <c r="J85" i="11"/>
  <c r="I110" i="11"/>
  <c r="G181" i="28"/>
  <c r="D199" i="28"/>
  <c r="F181" i="28"/>
  <c r="K60" i="12"/>
  <c r="J130" i="12"/>
  <c r="J99" i="12"/>
  <c r="J117" i="12" s="1"/>
  <c r="J69" i="12"/>
  <c r="J86" i="12" s="1"/>
  <c r="K41" i="15"/>
  <c r="L79" i="7"/>
  <c r="H155" i="15"/>
  <c r="H22" i="4" s="1"/>
  <c r="J200" i="14"/>
  <c r="K80" i="14"/>
  <c r="J148" i="14"/>
  <c r="J180" i="14" s="1"/>
  <c r="J96" i="14"/>
  <c r="J128" i="14" s="1"/>
  <c r="J127" i="7"/>
  <c r="K90" i="7"/>
  <c r="K49" i="17"/>
  <c r="K81" i="17" s="1"/>
  <c r="K53" i="14"/>
  <c r="L101" i="6"/>
  <c r="H105" i="11"/>
  <c r="I80" i="11"/>
  <c r="H122" i="11"/>
  <c r="N150" i="6"/>
  <c r="O104" i="6"/>
  <c r="I88" i="15"/>
  <c r="I102" i="15"/>
  <c r="I113" i="15" s="1"/>
  <c r="M91" i="7"/>
  <c r="H149" i="10"/>
  <c r="I98" i="10"/>
  <c r="H129" i="10"/>
  <c r="J160" i="6"/>
  <c r="J175" i="6" s="1"/>
  <c r="K114" i="6"/>
  <c r="M156" i="8"/>
  <c r="L172" i="8"/>
  <c r="J48" i="17"/>
  <c r="J80" i="17" s="1"/>
  <c r="J52" i="14"/>
  <c r="K100" i="6"/>
  <c r="L136" i="7"/>
  <c r="M99" i="7"/>
  <c r="G55" i="16"/>
  <c r="F65" i="16"/>
  <c r="F33" i="4"/>
  <c r="F35" i="4" s="1"/>
  <c r="J151" i="6"/>
  <c r="J166" i="6" s="1"/>
  <c r="K105" i="6"/>
  <c r="K95" i="7"/>
  <c r="J132" i="7"/>
  <c r="F111" i="11"/>
  <c r="O69" i="13"/>
  <c r="K119" i="8"/>
  <c r="J167" i="8"/>
  <c r="J183" i="8" s="1"/>
  <c r="J204" i="8"/>
  <c r="J184" i="8"/>
  <c r="K136" i="8"/>
  <c r="H145" i="10"/>
  <c r="H125" i="10"/>
  <c r="I94" i="10"/>
  <c r="J139" i="7"/>
  <c r="K102" i="7"/>
  <c r="J156" i="7"/>
  <c r="J198" i="6"/>
  <c r="J178" i="6"/>
  <c r="K132" i="6"/>
  <c r="J169" i="6"/>
  <c r="K123" i="6"/>
  <c r="J189" i="6"/>
  <c r="M105" i="5"/>
  <c r="L140" i="5"/>
  <c r="J165" i="7"/>
  <c r="J148" i="7"/>
  <c r="K111" i="7"/>
  <c r="G125" i="11"/>
  <c r="G108" i="11"/>
  <c r="H83" i="11"/>
  <c r="J194" i="14"/>
  <c r="J142" i="14"/>
  <c r="J174" i="14" s="1"/>
  <c r="K74" i="14"/>
  <c r="J90" i="14"/>
  <c r="J122" i="14" s="1"/>
  <c r="J97" i="12"/>
  <c r="J115" i="12" s="1"/>
  <c r="J128" i="12"/>
  <c r="K56" i="12"/>
  <c r="J67" i="12"/>
  <c r="J84" i="12" s="1"/>
  <c r="L128" i="6"/>
  <c r="M103" i="5"/>
  <c r="H73" i="11"/>
  <c r="I62" i="11"/>
  <c r="H36" i="18"/>
  <c r="K174" i="8"/>
  <c r="L126" i="8"/>
  <c r="J150" i="5"/>
  <c r="K99" i="5"/>
  <c r="J134" i="5"/>
  <c r="L122" i="5"/>
  <c r="M87" i="5"/>
  <c r="J177" i="6"/>
  <c r="J197" i="6"/>
  <c r="K131" i="6"/>
  <c r="J188" i="6"/>
  <c r="J168" i="6"/>
  <c r="K122" i="6"/>
  <c r="J43" i="16"/>
  <c r="K81" i="5"/>
  <c r="J126" i="15"/>
  <c r="K71" i="15"/>
  <c r="J84" i="15"/>
  <c r="J109" i="15" s="1"/>
  <c r="L125" i="15"/>
  <c r="M70" i="15"/>
  <c r="L83" i="15"/>
  <c r="L108" i="15" s="1"/>
  <c r="H21" i="4"/>
  <c r="J201" i="8"/>
  <c r="K133" i="8"/>
  <c r="J127" i="15"/>
  <c r="K72" i="15"/>
  <c r="J85" i="15"/>
  <c r="J110" i="15" s="1"/>
  <c r="K171" i="8"/>
  <c r="L123" i="8"/>
  <c r="K156" i="6"/>
  <c r="K171" i="6" s="1"/>
  <c r="L110" i="6"/>
  <c r="J131" i="7"/>
  <c r="J143" i="7" s="1"/>
  <c r="K94" i="7"/>
  <c r="J165" i="8"/>
  <c r="J181" i="8" s="1"/>
  <c r="K117" i="8"/>
  <c r="I120" i="14"/>
  <c r="I134" i="14" s="1"/>
  <c r="I102" i="14"/>
  <c r="K116" i="7"/>
  <c r="J128" i="7"/>
  <c r="J202" i="8"/>
  <c r="J182" i="8"/>
  <c r="K134" i="8"/>
  <c r="H90" i="9"/>
  <c r="H105" i="9"/>
  <c r="I69" i="9"/>
  <c r="I199" i="6"/>
  <c r="M169" i="8"/>
  <c r="N121" i="8"/>
  <c r="J134" i="7"/>
  <c r="J146" i="7" s="1"/>
  <c r="K97" i="7"/>
  <c r="L19" i="30"/>
  <c r="L28" i="30" s="1"/>
  <c r="J99" i="8"/>
  <c r="I113" i="8"/>
  <c r="L5" i="30" s="1"/>
  <c r="H127" i="10"/>
  <c r="I96" i="10"/>
  <c r="H147" i="10"/>
  <c r="J37" i="17"/>
  <c r="J69" i="17" s="1"/>
  <c r="J41" i="14"/>
  <c r="K89" i="6"/>
  <c r="J119" i="15"/>
  <c r="K64" i="15"/>
  <c r="J75" i="15"/>
  <c r="J77" i="15"/>
  <c r="K46" i="15"/>
  <c r="L84" i="7"/>
  <c r="L25" i="30"/>
  <c r="L27" i="30"/>
  <c r="L157" i="6"/>
  <c r="M111" i="6"/>
  <c r="K77" i="14"/>
  <c r="J197" i="14"/>
  <c r="J145" i="14"/>
  <c r="J177" i="14" s="1"/>
  <c r="J93" i="14"/>
  <c r="J125" i="14" s="1"/>
  <c r="J129" i="7"/>
  <c r="K92" i="7"/>
  <c r="I151" i="15"/>
  <c r="I168" i="15"/>
  <c r="K123" i="5"/>
  <c r="L88" i="5"/>
  <c r="K167" i="15"/>
  <c r="K150" i="15"/>
  <c r="L6" i="30"/>
  <c r="L10" i="30"/>
  <c r="L14" i="30" s="1"/>
  <c r="I213" i="8"/>
  <c r="J144" i="7"/>
  <c r="K107" i="7"/>
  <c r="J161" i="7"/>
  <c r="J42" i="16"/>
  <c r="J63" i="16" s="1"/>
  <c r="J42" i="12"/>
  <c r="K80" i="5"/>
  <c r="J131" i="12"/>
  <c r="J156" i="5"/>
  <c r="M121" i="6"/>
  <c r="I171" i="15"/>
  <c r="I154" i="15"/>
  <c r="J159" i="6"/>
  <c r="J174" i="6" s="1"/>
  <c r="K113" i="6"/>
  <c r="K154" i="5"/>
  <c r="K152" i="5"/>
  <c r="L101" i="5"/>
  <c r="K39" i="17"/>
  <c r="K71" i="17" s="1"/>
  <c r="K43" i="14"/>
  <c r="L91" i="6"/>
  <c r="J64" i="9"/>
  <c r="K55" i="9"/>
  <c r="I163" i="15"/>
  <c r="I146" i="15"/>
  <c r="K93" i="13"/>
  <c r="K100" i="13" s="1"/>
  <c r="L72" i="13"/>
  <c r="J196" i="6"/>
  <c r="K130" i="6"/>
  <c r="J39" i="15"/>
  <c r="J49" i="15" s="1"/>
  <c r="K77" i="7"/>
  <c r="G68" i="17"/>
  <c r="G82" i="17" s="1"/>
  <c r="G84" i="17" s="1"/>
  <c r="G50" i="17"/>
  <c r="J204" i="14"/>
  <c r="J152" i="14"/>
  <c r="J184" i="14" s="1"/>
  <c r="K84" i="14"/>
  <c r="J100" i="14"/>
  <c r="J132" i="14" s="1"/>
  <c r="L158" i="6"/>
  <c r="M112" i="6"/>
  <c r="J125" i="12"/>
  <c r="J94" i="12"/>
  <c r="J62" i="12"/>
  <c r="J132" i="12" s="1"/>
  <c r="K53" i="12"/>
  <c r="J64" i="12"/>
  <c r="K39" i="18"/>
  <c r="K64" i="18" s="1"/>
  <c r="K111" i="13"/>
  <c r="L79" i="13"/>
  <c r="J108" i="13"/>
  <c r="J81" i="13"/>
  <c r="K76" i="13"/>
  <c r="J97" i="13"/>
  <c r="I169" i="15"/>
  <c r="I152" i="15"/>
  <c r="K11" i="30"/>
  <c r="K15" i="30" s="1"/>
  <c r="K13" i="30"/>
  <c r="J193" i="14"/>
  <c r="J141" i="14"/>
  <c r="J173" i="14" s="1"/>
  <c r="K73" i="14"/>
  <c r="J89" i="14"/>
  <c r="J121" i="14" s="1"/>
  <c r="J160" i="7"/>
  <c r="K106" i="7"/>
  <c r="J38" i="16"/>
  <c r="J59" i="16" s="1"/>
  <c r="J38" i="12"/>
  <c r="K76" i="5"/>
  <c r="K41" i="17"/>
  <c r="K73" i="17" s="1"/>
  <c r="K45" i="14"/>
  <c r="L93" i="6"/>
  <c r="J129" i="12"/>
  <c r="J98" i="12"/>
  <c r="J116" i="12" s="1"/>
  <c r="K59" i="12"/>
  <c r="J68" i="12"/>
  <c r="J85" i="12" s="1"/>
  <c r="J135" i="7"/>
  <c r="K98" i="7"/>
  <c r="J112" i="7"/>
  <c r="J155" i="7"/>
  <c r="K101" i="7"/>
  <c r="J164" i="8"/>
  <c r="J180" i="8" s="1"/>
  <c r="K116" i="8"/>
  <c r="I41" i="18"/>
  <c r="I66" i="18" s="1"/>
  <c r="K127" i="8"/>
  <c r="J175" i="8"/>
  <c r="J191" i="8" s="1"/>
  <c r="K127" i="5"/>
  <c r="K138" i="5" s="1"/>
  <c r="L92" i="5"/>
  <c r="J40" i="15"/>
  <c r="K78" i="7"/>
  <c r="K87" i="7" s="1"/>
  <c r="J210" i="8"/>
  <c r="J190" i="8"/>
  <c r="K142" i="8"/>
  <c r="J126" i="12"/>
  <c r="J95" i="12"/>
  <c r="J113" i="12" s="1"/>
  <c r="J65" i="12"/>
  <c r="J82" i="12" s="1"/>
  <c r="K54" i="12"/>
  <c r="K163" i="8"/>
  <c r="L115" i="8"/>
  <c r="M24" i="30"/>
  <c r="J145" i="8"/>
  <c r="J199" i="8"/>
  <c r="J179" i="8"/>
  <c r="K131" i="8"/>
  <c r="I71" i="10"/>
  <c r="H85" i="10"/>
  <c r="H36" i="17"/>
  <c r="I206" i="14"/>
  <c r="I132" i="12"/>
  <c r="G126" i="11"/>
  <c r="G109" i="11"/>
  <c r="H84" i="11"/>
  <c r="J200" i="8"/>
  <c r="K132" i="8"/>
  <c r="K207" i="8"/>
  <c r="L139" i="8"/>
  <c r="K187" i="8"/>
  <c r="I119" i="11"/>
  <c r="J77" i="11"/>
  <c r="I102" i="11"/>
  <c r="H122" i="10"/>
  <c r="I91" i="10"/>
  <c r="H142" i="10"/>
  <c r="J162" i="7"/>
  <c r="J145" i="7"/>
  <c r="K108" i="7"/>
  <c r="I42" i="18"/>
  <c r="I67" i="18" s="1"/>
  <c r="J68" i="11"/>
  <c r="I100" i="11"/>
  <c r="J75" i="11"/>
  <c r="I117" i="11"/>
  <c r="I104" i="9"/>
  <c r="I89" i="9"/>
  <c r="J68" i="9"/>
  <c r="K43" i="17"/>
  <c r="K75" i="17" s="1"/>
  <c r="K47" i="14"/>
  <c r="L95" i="6"/>
  <c r="J201" i="14"/>
  <c r="J149" i="14"/>
  <c r="J181" i="14" s="1"/>
  <c r="K81" i="14"/>
  <c r="J97" i="14"/>
  <c r="J129" i="14" s="1"/>
  <c r="M120" i="8"/>
  <c r="L168" i="8"/>
  <c r="J157" i="7"/>
  <c r="J140" i="7"/>
  <c r="K103" i="7"/>
  <c r="K47" i="17"/>
  <c r="K79" i="17" s="1"/>
  <c r="K51" i="14"/>
  <c r="L99" i="6"/>
  <c r="K120" i="15"/>
  <c r="L65" i="15"/>
  <c r="K78" i="15"/>
  <c r="K103" i="15" s="1"/>
  <c r="J44" i="17"/>
  <c r="J76" i="17" s="1"/>
  <c r="J48" i="14"/>
  <c r="K96" i="6"/>
  <c r="K203" i="8"/>
  <c r="L135" i="8"/>
  <c r="K211" i="8"/>
  <c r="L143" i="8"/>
  <c r="J38" i="17"/>
  <c r="J70" i="17" s="1"/>
  <c r="J42" i="14"/>
  <c r="K90" i="6"/>
  <c r="J187" i="6"/>
  <c r="J202" i="14"/>
  <c r="J150" i="14"/>
  <c r="J182" i="14" s="1"/>
  <c r="K82" i="14"/>
  <c r="J98" i="14"/>
  <c r="J130" i="14" s="1"/>
  <c r="J212" i="8"/>
  <c r="K144" i="8"/>
  <c r="J192" i="8"/>
  <c r="J40" i="18"/>
  <c r="J65" i="18" s="1"/>
  <c r="K80" i="13"/>
  <c r="J101" i="13"/>
  <c r="J112" i="13"/>
  <c r="I161" i="15"/>
  <c r="I144" i="15"/>
  <c r="I130" i="15"/>
  <c r="I172" i="15" s="1"/>
  <c r="K127" i="12"/>
  <c r="L55" i="12"/>
  <c r="K96" i="12"/>
  <c r="K114" i="12" s="1"/>
  <c r="K66" i="12"/>
  <c r="K83" i="12" s="1"/>
  <c r="L9" i="30"/>
  <c r="I158" i="5"/>
  <c r="J45" i="15"/>
  <c r="K83" i="7"/>
  <c r="G54" i="16"/>
  <c r="F64" i="16"/>
  <c r="F66" i="16" s="1"/>
  <c r="F68" i="16" s="1"/>
  <c r="F27" i="4" s="1"/>
  <c r="F30" i="4" s="1"/>
  <c r="J87" i="7"/>
  <c r="H141" i="10"/>
  <c r="I90" i="10"/>
  <c r="H121" i="10"/>
  <c r="J123" i="15"/>
  <c r="K68" i="15"/>
  <c r="J81" i="15"/>
  <c r="J106" i="15" s="1"/>
  <c r="H9" i="4"/>
  <c r="H72" i="9"/>
  <c r="G110" i="9"/>
  <c r="G93" i="9"/>
  <c r="J130" i="7"/>
  <c r="J142" i="7" s="1"/>
  <c r="K93" i="7"/>
  <c r="L90" i="5"/>
  <c r="K125" i="5"/>
  <c r="K136" i="5" s="1"/>
  <c r="I164" i="15"/>
  <c r="I147" i="15"/>
  <c r="K128" i="15"/>
  <c r="L73" i="15"/>
  <c r="K86" i="15"/>
  <c r="K111" i="15" s="1"/>
  <c r="J133" i="5"/>
  <c r="K98" i="5"/>
  <c r="J149" i="5"/>
  <c r="M23" i="30"/>
  <c r="J107" i="5"/>
  <c r="K39" i="16"/>
  <c r="K60" i="16" s="1"/>
  <c r="K39" i="12"/>
  <c r="L77" i="5"/>
  <c r="J161" i="6"/>
  <c r="J176" i="6" s="1"/>
  <c r="K115" i="6"/>
  <c r="K104" i="7"/>
  <c r="J158" i="7"/>
  <c r="J141" i="7"/>
  <c r="H121" i="11"/>
  <c r="H104" i="11"/>
  <c r="I79" i="11"/>
  <c r="K122" i="8"/>
  <c r="J170" i="8"/>
  <c r="J186" i="8" s="1"/>
  <c r="M18" i="30"/>
  <c r="J36" i="16"/>
  <c r="J36" i="12"/>
  <c r="J43" i="12" s="1"/>
  <c r="K74" i="5"/>
  <c r="J84" i="5"/>
  <c r="M4" i="30" s="1"/>
  <c r="J148" i="5"/>
  <c r="G15" i="30"/>
  <c r="I11" i="30"/>
  <c r="I15" i="30" s="1"/>
  <c r="J45" i="17"/>
  <c r="J77" i="17" s="1"/>
  <c r="J49" i="14"/>
  <c r="K97" i="6"/>
  <c r="K194" i="6" s="1"/>
  <c r="J203" i="14"/>
  <c r="K83" i="14"/>
  <c r="J151" i="14"/>
  <c r="J183" i="14" s="1"/>
  <c r="J99" i="14"/>
  <c r="J131" i="14" s="1"/>
  <c r="I193" i="8"/>
  <c r="G151" i="10"/>
  <c r="G131" i="10"/>
  <c r="H100" i="10"/>
  <c r="L41" i="16"/>
  <c r="L62" i="16" s="1"/>
  <c r="L41" i="12"/>
  <c r="M79" i="5"/>
  <c r="H146" i="10"/>
  <c r="H126" i="10"/>
  <c r="I95" i="10"/>
  <c r="K46" i="18"/>
  <c r="K71" i="18" s="1"/>
  <c r="L86" i="13"/>
  <c r="I101" i="12"/>
  <c r="I112" i="12"/>
  <c r="I119" i="12" s="1"/>
  <c r="J48" i="15"/>
  <c r="K86" i="7"/>
  <c r="H130" i="10"/>
  <c r="I99" i="10"/>
  <c r="H150" i="10"/>
  <c r="K154" i="6"/>
  <c r="L108" i="6"/>
  <c r="K126" i="5"/>
  <c r="L91" i="5"/>
  <c r="J122" i="15"/>
  <c r="K67" i="15"/>
  <c r="J80" i="15"/>
  <c r="J105" i="15" s="1"/>
  <c r="G120" i="11"/>
  <c r="G103" i="11"/>
  <c r="H78" i="11"/>
  <c r="K172" i="6"/>
  <c r="K192" i="6"/>
  <c r="L126" i="6"/>
  <c r="L206" i="8"/>
  <c r="M138" i="8"/>
  <c r="J145" i="15"/>
  <c r="J162" i="15"/>
  <c r="M44" i="15"/>
  <c r="N82" i="7"/>
  <c r="K104" i="5"/>
  <c r="J139" i="5"/>
  <c r="J157" i="5"/>
  <c r="M97" i="5"/>
  <c r="K163" i="7"/>
  <c r="L109" i="7"/>
  <c r="J126" i="7"/>
  <c r="J138" i="7" s="1"/>
  <c r="K89" i="7"/>
  <c r="J196" i="14"/>
  <c r="J144" i="14"/>
  <c r="J176" i="14" s="1"/>
  <c r="J92" i="14"/>
  <c r="J124" i="14" s="1"/>
  <c r="K76" i="14"/>
  <c r="J40" i="14"/>
  <c r="J102" i="6"/>
  <c r="K88" i="6"/>
  <c r="L153" i="6"/>
  <c r="M107" i="6"/>
  <c r="I67" i="13"/>
  <c r="I113" i="13" s="1"/>
  <c r="J62" i="13"/>
  <c r="J127" i="12"/>
  <c r="G143" i="10"/>
  <c r="G123" i="10"/>
  <c r="G132" i="10" s="1"/>
  <c r="H92" i="10"/>
  <c r="H101" i="10" s="1"/>
  <c r="H152" i="10" s="1"/>
  <c r="H54" i="20"/>
  <c r="H34" i="4" s="1"/>
  <c r="H53" i="20"/>
  <c r="I46" i="20"/>
  <c r="M129" i="6"/>
  <c r="K38" i="15"/>
  <c r="L76" i="7"/>
  <c r="I148" i="15"/>
  <c r="I165" i="15"/>
  <c r="J155" i="5"/>
  <c r="J137" i="5"/>
  <c r="J153" i="5"/>
  <c r="K102" i="5"/>
  <c r="N61" i="12"/>
  <c r="M100" i="12"/>
  <c r="M118" i="12" s="1"/>
  <c r="M70" i="12"/>
  <c r="M87" i="12" s="1"/>
  <c r="H10" i="4"/>
  <c r="J149" i="7" l="1"/>
  <c r="G15" i="4"/>
  <c r="J179" i="6"/>
  <c r="L46" i="18"/>
  <c r="L71" i="18" s="1"/>
  <c r="M86" i="13"/>
  <c r="M9" i="30"/>
  <c r="J158" i="5"/>
  <c r="L11" i="30"/>
  <c r="L15" i="30" s="1"/>
  <c r="L13" i="30"/>
  <c r="L46" i="15"/>
  <c r="M84" i="7"/>
  <c r="L72" i="15"/>
  <c r="K127" i="15"/>
  <c r="K85" i="15"/>
  <c r="K110" i="15" s="1"/>
  <c r="K167" i="8"/>
  <c r="K183" i="8" s="1"/>
  <c r="L119" i="8"/>
  <c r="L162" i="6"/>
  <c r="M116" i="6"/>
  <c r="J112" i="12"/>
  <c r="J119" i="12" s="1"/>
  <c r="J101" i="12"/>
  <c r="M88" i="5"/>
  <c r="L123" i="5"/>
  <c r="K131" i="7"/>
  <c r="L94" i="7"/>
  <c r="L80" i="14"/>
  <c r="K148" i="14"/>
  <c r="K180" i="14" s="1"/>
  <c r="K200" i="14"/>
  <c r="K96" i="14"/>
  <c r="K128" i="14" s="1"/>
  <c r="J120" i="14"/>
  <c r="J134" i="14" s="1"/>
  <c r="J102" i="14"/>
  <c r="K195" i="14"/>
  <c r="L75" i="14"/>
  <c r="K143" i="14"/>
  <c r="K175" i="14" s="1"/>
  <c r="K91" i="14"/>
  <c r="K123" i="14" s="1"/>
  <c r="K122" i="15"/>
  <c r="L67" i="15"/>
  <c r="K80" i="15"/>
  <c r="K105" i="15" s="1"/>
  <c r="K158" i="7"/>
  <c r="L104" i="7"/>
  <c r="K141" i="7"/>
  <c r="K40" i="18"/>
  <c r="K65" i="18" s="1"/>
  <c r="K112" i="13"/>
  <c r="L80" i="13"/>
  <c r="K162" i="15"/>
  <c r="K145" i="15"/>
  <c r="N120" i="8"/>
  <c r="M168" i="8"/>
  <c r="J89" i="9"/>
  <c r="K68" i="9"/>
  <c r="J104" i="9"/>
  <c r="J119" i="11"/>
  <c r="J102" i="11"/>
  <c r="K77" i="11"/>
  <c r="H126" i="11"/>
  <c r="H109" i="11"/>
  <c r="I84" i="11"/>
  <c r="N24" i="30"/>
  <c r="K145" i="8"/>
  <c r="K179" i="8"/>
  <c r="L131" i="8"/>
  <c r="M92" i="5"/>
  <c r="L127" i="5"/>
  <c r="L138" i="5" s="1"/>
  <c r="K112" i="7"/>
  <c r="K166" i="7" s="1"/>
  <c r="K155" i="7"/>
  <c r="L101" i="7"/>
  <c r="K160" i="7"/>
  <c r="K143" i="7"/>
  <c r="L106" i="7"/>
  <c r="G28" i="4"/>
  <c r="L107" i="7"/>
  <c r="K161" i="7"/>
  <c r="K197" i="14"/>
  <c r="K145" i="14"/>
  <c r="K177" i="14" s="1"/>
  <c r="L77" i="14"/>
  <c r="K93" i="14"/>
  <c r="K125" i="14" s="1"/>
  <c r="J102" i="15"/>
  <c r="J113" i="15" s="1"/>
  <c r="J88" i="15"/>
  <c r="N169" i="8"/>
  <c r="O121" i="8"/>
  <c r="L167" i="15"/>
  <c r="L150" i="15"/>
  <c r="K165" i="7"/>
  <c r="K148" i="7"/>
  <c r="L111" i="7"/>
  <c r="K198" i="6"/>
  <c r="L132" i="6"/>
  <c r="N156" i="8"/>
  <c r="M172" i="8"/>
  <c r="K37" i="18"/>
  <c r="K62" i="18" s="1"/>
  <c r="K109" i="13"/>
  <c r="L77" i="13"/>
  <c r="K47" i="15"/>
  <c r="L85" i="7"/>
  <c r="I140" i="10"/>
  <c r="I120" i="10"/>
  <c r="J89" i="10"/>
  <c r="H144" i="10"/>
  <c r="I93" i="10"/>
  <c r="H124" i="10"/>
  <c r="J95" i="13"/>
  <c r="K46" i="17"/>
  <c r="K78" i="17" s="1"/>
  <c r="K50" i="14"/>
  <c r="L98" i="6"/>
  <c r="K195" i="6"/>
  <c r="K43" i="15"/>
  <c r="L81" i="7"/>
  <c r="K163" i="6"/>
  <c r="K178" i="6" s="1"/>
  <c r="L117" i="6"/>
  <c r="I94" i="9"/>
  <c r="J73" i="9"/>
  <c r="L198" i="14"/>
  <c r="M78" i="14"/>
  <c r="L146" i="14"/>
  <c r="L178" i="14" s="1"/>
  <c r="L94" i="14"/>
  <c r="L126" i="14" s="1"/>
  <c r="K200" i="8"/>
  <c r="L132" i="8"/>
  <c r="K180" i="8"/>
  <c r="N91" i="7"/>
  <c r="L106" i="5"/>
  <c r="K141" i="5"/>
  <c r="K186" i="6"/>
  <c r="L120" i="6"/>
  <c r="L133" i="6" s="1"/>
  <c r="H123" i="11"/>
  <c r="H106" i="11"/>
  <c r="I81" i="11"/>
  <c r="M25" i="30"/>
  <c r="M27" i="30"/>
  <c r="L73" i="13"/>
  <c r="K94" i="13"/>
  <c r="K101" i="13" s="1"/>
  <c r="H109" i="9"/>
  <c r="H107" i="9"/>
  <c r="H92" i="9"/>
  <c r="I71" i="9"/>
  <c r="I53" i="20"/>
  <c r="J46" i="20"/>
  <c r="I54" i="20"/>
  <c r="I34" i="4" s="1"/>
  <c r="J67" i="13"/>
  <c r="J113" i="13" s="1"/>
  <c r="K62" i="13"/>
  <c r="K108" i="13" s="1"/>
  <c r="K196" i="14"/>
  <c r="K144" i="14"/>
  <c r="K176" i="14" s="1"/>
  <c r="L76" i="14"/>
  <c r="K92" i="14"/>
  <c r="K124" i="14" s="1"/>
  <c r="K157" i="5"/>
  <c r="L104" i="5"/>
  <c r="L192" i="6"/>
  <c r="M126" i="6"/>
  <c r="L172" i="6"/>
  <c r="J164" i="15"/>
  <c r="J147" i="15"/>
  <c r="K161" i="6"/>
  <c r="L115" i="6"/>
  <c r="K149" i="5"/>
  <c r="L98" i="5"/>
  <c r="K133" i="5"/>
  <c r="N23" i="30"/>
  <c r="K107" i="5"/>
  <c r="M55" i="12"/>
  <c r="L96" i="12"/>
  <c r="L114" i="12" s="1"/>
  <c r="L66" i="12"/>
  <c r="L83" i="12" s="1"/>
  <c r="L203" i="8"/>
  <c r="M135" i="8"/>
  <c r="L47" i="17"/>
  <c r="L79" i="17" s="1"/>
  <c r="L51" i="14"/>
  <c r="M99" i="6"/>
  <c r="K145" i="7"/>
  <c r="L108" i="7"/>
  <c r="K162" i="7"/>
  <c r="J193" i="8"/>
  <c r="L39" i="18"/>
  <c r="L64" i="18" s="1"/>
  <c r="M79" i="13"/>
  <c r="L111" i="13"/>
  <c r="M158" i="6"/>
  <c r="N112" i="6"/>
  <c r="K39" i="15"/>
  <c r="L77" i="7"/>
  <c r="J96" i="10"/>
  <c r="I147" i="10"/>
  <c r="I127" i="10"/>
  <c r="L156" i="6"/>
  <c r="M110" i="6"/>
  <c r="L133" i="8"/>
  <c r="K201" i="8"/>
  <c r="K197" i="6"/>
  <c r="L131" i="6"/>
  <c r="K177" i="6"/>
  <c r="L174" i="8"/>
  <c r="M126" i="8"/>
  <c r="F16" i="4"/>
  <c r="H55" i="16"/>
  <c r="G65" i="16"/>
  <c r="L114" i="6"/>
  <c r="K160" i="6"/>
  <c r="K175" i="6" s="1"/>
  <c r="G199" i="28"/>
  <c r="F199" i="28"/>
  <c r="K91" i="13"/>
  <c r="K98" i="13" s="1"/>
  <c r="L70" i="13"/>
  <c r="H23" i="4"/>
  <c r="J206" i="14"/>
  <c r="K43" i="18"/>
  <c r="K68" i="18" s="1"/>
  <c r="L83" i="13"/>
  <c r="K90" i="13"/>
  <c r="K95" i="13" s="1"/>
  <c r="M128" i="8"/>
  <c r="L176" i="8"/>
  <c r="L124" i="15"/>
  <c r="M69" i="15"/>
  <c r="L82" i="15"/>
  <c r="L107" i="15" s="1"/>
  <c r="K45" i="18"/>
  <c r="K70" i="18" s="1"/>
  <c r="L85" i="13"/>
  <c r="K92" i="13"/>
  <c r="K99" i="13" s="1"/>
  <c r="H118" i="11"/>
  <c r="H101" i="11"/>
  <c r="I76" i="11"/>
  <c r="H86" i="11"/>
  <c r="H128" i="11" s="1"/>
  <c r="N129" i="6"/>
  <c r="K202" i="14"/>
  <c r="K150" i="14"/>
  <c r="K182" i="14" s="1"/>
  <c r="L82" i="14"/>
  <c r="K98" i="14"/>
  <c r="K130" i="14" s="1"/>
  <c r="K209" i="8"/>
  <c r="L141" i="8"/>
  <c r="K189" i="8"/>
  <c r="K129" i="12"/>
  <c r="K98" i="12"/>
  <c r="K116" i="12" s="1"/>
  <c r="L59" i="12"/>
  <c r="K68" i="12"/>
  <c r="K85" i="12" s="1"/>
  <c r="I125" i="10"/>
  <c r="J94" i="10"/>
  <c r="I145" i="10"/>
  <c r="L49" i="17"/>
  <c r="L81" i="17" s="1"/>
  <c r="L53" i="14"/>
  <c r="M101" i="6"/>
  <c r="I146" i="10"/>
  <c r="I126" i="10"/>
  <c r="J95" i="10"/>
  <c r="K48" i="15"/>
  <c r="L86" i="7"/>
  <c r="L122" i="8"/>
  <c r="K170" i="8"/>
  <c r="K186" i="8" s="1"/>
  <c r="L125" i="5"/>
  <c r="L136" i="5" s="1"/>
  <c r="M90" i="5"/>
  <c r="H54" i="16"/>
  <c r="G64" i="16"/>
  <c r="G66" i="16" s="1"/>
  <c r="G68" i="16" s="1"/>
  <c r="K38" i="17"/>
  <c r="K70" i="17" s="1"/>
  <c r="K42" i="14"/>
  <c r="L90" i="6"/>
  <c r="K187" i="6"/>
  <c r="K201" i="14"/>
  <c r="L81" i="14"/>
  <c r="K149" i="14"/>
  <c r="K181" i="14" s="1"/>
  <c r="K97" i="14"/>
  <c r="K129" i="14" s="1"/>
  <c r="L41" i="17"/>
  <c r="L73" i="17" s="1"/>
  <c r="L45" i="14"/>
  <c r="M93" i="6"/>
  <c r="K64" i="9"/>
  <c r="L55" i="9"/>
  <c r="M157" i="6"/>
  <c r="N111" i="6"/>
  <c r="L64" i="15"/>
  <c r="K75" i="15"/>
  <c r="K119" i="15"/>
  <c r="K77" i="15"/>
  <c r="L116" i="7"/>
  <c r="K128" i="7"/>
  <c r="K126" i="15"/>
  <c r="L71" i="15"/>
  <c r="K84" i="15"/>
  <c r="K109" i="15" s="1"/>
  <c r="M128" i="6"/>
  <c r="K142" i="14"/>
  <c r="K174" i="14" s="1"/>
  <c r="L74" i="14"/>
  <c r="K194" i="14"/>
  <c r="K90" i="14"/>
  <c r="K122" i="14" s="1"/>
  <c r="K204" i="8"/>
  <c r="K184" i="8"/>
  <c r="L136" i="8"/>
  <c r="M136" i="7"/>
  <c r="N99" i="7"/>
  <c r="O150" i="6"/>
  <c r="P104" i="6"/>
  <c r="P150" i="6" s="1"/>
  <c r="L90" i="7"/>
  <c r="K127" i="7"/>
  <c r="L41" i="15"/>
  <c r="M79" i="7"/>
  <c r="I20" i="4"/>
  <c r="L93" i="5"/>
  <c r="K128" i="5"/>
  <c r="K139" i="5" s="1"/>
  <c r="N95" i="5"/>
  <c r="M130" i="5"/>
  <c r="M42" i="17"/>
  <c r="M74" i="17" s="1"/>
  <c r="M46" i="14"/>
  <c r="N94" i="6"/>
  <c r="J128" i="10"/>
  <c r="K97" i="10"/>
  <c r="J148" i="10"/>
  <c r="L72" i="14"/>
  <c r="K192" i="14"/>
  <c r="K86" i="14"/>
  <c r="K140" i="14"/>
  <c r="K172" i="14" s="1"/>
  <c r="K88" i="14"/>
  <c r="K149" i="15"/>
  <c r="K166" i="15"/>
  <c r="K40" i="17"/>
  <c r="K72" i="17" s="1"/>
  <c r="K44" i="14"/>
  <c r="L92" i="6"/>
  <c r="G111" i="11"/>
  <c r="G16" i="4" s="1"/>
  <c r="K121" i="15"/>
  <c r="L66" i="15"/>
  <c r="K79" i="15"/>
  <c r="K104" i="15" s="1"/>
  <c r="K190" i="6"/>
  <c r="L124" i="6"/>
  <c r="M40" i="16"/>
  <c r="M61" i="16" s="1"/>
  <c r="M40" i="12"/>
  <c r="N78" i="5"/>
  <c r="H151" i="10"/>
  <c r="H131" i="10"/>
  <c r="I100" i="10"/>
  <c r="L93" i="13"/>
  <c r="L100" i="13" s="1"/>
  <c r="M72" i="13"/>
  <c r="N71" i="13"/>
  <c r="P118" i="8"/>
  <c r="P166" i="8" s="1"/>
  <c r="O166" i="8"/>
  <c r="J54" i="14"/>
  <c r="J42" i="18"/>
  <c r="J67" i="18" s="1"/>
  <c r="K68" i="11"/>
  <c r="L154" i="5"/>
  <c r="L152" i="5"/>
  <c r="M101" i="5"/>
  <c r="J169" i="15"/>
  <c r="J152" i="15"/>
  <c r="I124" i="11"/>
  <c r="I107" i="11"/>
  <c r="J82" i="11"/>
  <c r="K155" i="6"/>
  <c r="K170" i="6" s="1"/>
  <c r="L109" i="6"/>
  <c r="I130" i="10"/>
  <c r="J99" i="10"/>
  <c r="I150" i="10"/>
  <c r="N44" i="15"/>
  <c r="O82" i="7"/>
  <c r="L126" i="5"/>
  <c r="M91" i="5"/>
  <c r="J142" i="5"/>
  <c r="J8" i="4" s="1"/>
  <c r="O61" i="12"/>
  <c r="N100" i="12"/>
  <c r="N118" i="12" s="1"/>
  <c r="N70" i="12"/>
  <c r="N87" i="12" s="1"/>
  <c r="L38" i="15"/>
  <c r="M76" i="7"/>
  <c r="H143" i="10"/>
  <c r="H123" i="10"/>
  <c r="H132" i="10" s="1"/>
  <c r="I92" i="10"/>
  <c r="I101" i="10" s="1"/>
  <c r="I152" i="10" s="1"/>
  <c r="M153" i="6"/>
  <c r="N107" i="6"/>
  <c r="N97" i="5"/>
  <c r="M41" i="16"/>
  <c r="M62" i="16" s="1"/>
  <c r="M41" i="12"/>
  <c r="N79" i="5"/>
  <c r="I121" i="11"/>
  <c r="I104" i="11"/>
  <c r="J79" i="11"/>
  <c r="L39" i="16"/>
  <c r="L60" i="16" s="1"/>
  <c r="L39" i="12"/>
  <c r="M77" i="5"/>
  <c r="K130" i="7"/>
  <c r="L93" i="7"/>
  <c r="K123" i="15"/>
  <c r="L68" i="15"/>
  <c r="K81" i="15"/>
  <c r="K106" i="15" s="1"/>
  <c r="K45" i="15"/>
  <c r="L83" i="7"/>
  <c r="K212" i="8"/>
  <c r="K192" i="8"/>
  <c r="L144" i="8"/>
  <c r="K44" i="17"/>
  <c r="K76" i="17" s="1"/>
  <c r="K48" i="14"/>
  <c r="L96" i="6"/>
  <c r="L207" i="8"/>
  <c r="M139" i="8"/>
  <c r="M10" i="30"/>
  <c r="M14" i="30" s="1"/>
  <c r="K210" i="8"/>
  <c r="K190" i="8"/>
  <c r="L142" i="8"/>
  <c r="K175" i="8"/>
  <c r="K191" i="8" s="1"/>
  <c r="L127" i="8"/>
  <c r="J166" i="7"/>
  <c r="J102" i="13"/>
  <c r="K196" i="6"/>
  <c r="K176" i="6"/>
  <c r="L130" i="6"/>
  <c r="K159" i="6"/>
  <c r="K174" i="6" s="1"/>
  <c r="L113" i="6"/>
  <c r="K129" i="7"/>
  <c r="L92" i="7"/>
  <c r="J161" i="15"/>
  <c r="J130" i="15"/>
  <c r="J172" i="15" s="1"/>
  <c r="J144" i="15"/>
  <c r="I105" i="9"/>
  <c r="I90" i="9"/>
  <c r="J69" i="9"/>
  <c r="L171" i="8"/>
  <c r="L187" i="8" s="1"/>
  <c r="M123" i="8"/>
  <c r="J151" i="15"/>
  <c r="J168" i="15"/>
  <c r="H47" i="18"/>
  <c r="H61" i="18"/>
  <c r="H72" i="18" s="1"/>
  <c r="H74" i="18" s="1"/>
  <c r="H29" i="4" s="1"/>
  <c r="K132" i="7"/>
  <c r="K144" i="7" s="1"/>
  <c r="L95" i="7"/>
  <c r="L89" i="5"/>
  <c r="K124" i="5"/>
  <c r="K135" i="5" s="1"/>
  <c r="K142" i="7"/>
  <c r="L105" i="7"/>
  <c r="K159" i="7"/>
  <c r="K133" i="6"/>
  <c r="L191" i="6"/>
  <c r="L171" i="6"/>
  <c r="M125" i="6"/>
  <c r="P124" i="8"/>
  <c r="M129" i="5"/>
  <c r="M140" i="5" s="1"/>
  <c r="N94" i="5"/>
  <c r="L42" i="15"/>
  <c r="M80" i="7"/>
  <c r="K38" i="18"/>
  <c r="K63" i="18" s="1"/>
  <c r="K110" i="13"/>
  <c r="L78" i="13"/>
  <c r="K199" i="14"/>
  <c r="K147" i="14"/>
  <c r="L79" i="14"/>
  <c r="K95" i="14"/>
  <c r="K127" i="14" s="1"/>
  <c r="J139" i="10"/>
  <c r="J119" i="10"/>
  <c r="K88" i="10"/>
  <c r="J146" i="15"/>
  <c r="J163" i="15"/>
  <c r="M206" i="8"/>
  <c r="N138" i="8"/>
  <c r="K45" i="17"/>
  <c r="K77" i="17" s="1"/>
  <c r="K49" i="14"/>
  <c r="L97" i="6"/>
  <c r="L194" i="6" s="1"/>
  <c r="I141" i="10"/>
  <c r="I121" i="10"/>
  <c r="J90" i="10"/>
  <c r="K40" i="15"/>
  <c r="L78" i="7"/>
  <c r="K134" i="7"/>
  <c r="K146" i="7" s="1"/>
  <c r="L97" i="7"/>
  <c r="K188" i="6"/>
  <c r="K168" i="6"/>
  <c r="L122" i="6"/>
  <c r="K189" i="6"/>
  <c r="K169" i="6"/>
  <c r="L123" i="6"/>
  <c r="M125" i="8"/>
  <c r="L173" i="8"/>
  <c r="J154" i="15"/>
  <c r="J171" i="15"/>
  <c r="J57" i="16"/>
  <c r="J45" i="16"/>
  <c r="K126" i="12"/>
  <c r="K95" i="12"/>
  <c r="K113" i="12" s="1"/>
  <c r="K65" i="12"/>
  <c r="K82" i="12" s="1"/>
  <c r="L54" i="12"/>
  <c r="N70" i="15"/>
  <c r="M125" i="15"/>
  <c r="M83" i="15"/>
  <c r="M108" i="15" s="1"/>
  <c r="K208" i="8"/>
  <c r="L140" i="8"/>
  <c r="K188" i="8"/>
  <c r="K49" i="15"/>
  <c r="L154" i="6"/>
  <c r="M108" i="6"/>
  <c r="L128" i="15"/>
  <c r="M73" i="15"/>
  <c r="L86" i="15"/>
  <c r="L111" i="15" s="1"/>
  <c r="J148" i="15"/>
  <c r="J165" i="15"/>
  <c r="I155" i="15"/>
  <c r="I22" i="4" s="1"/>
  <c r="K157" i="7"/>
  <c r="K140" i="7"/>
  <c r="L103" i="7"/>
  <c r="L98" i="7"/>
  <c r="K135" i="7"/>
  <c r="L73" i="14"/>
  <c r="K193" i="14"/>
  <c r="K141" i="14"/>
  <c r="K173" i="14" s="1"/>
  <c r="K89" i="14"/>
  <c r="K121" i="14" s="1"/>
  <c r="K81" i="13"/>
  <c r="L76" i="13"/>
  <c r="J81" i="12"/>
  <c r="J88" i="12" s="1"/>
  <c r="J20" i="4" s="1"/>
  <c r="J71" i="12"/>
  <c r="K204" i="14"/>
  <c r="K152" i="14"/>
  <c r="K184" i="14" s="1"/>
  <c r="L84" i="14"/>
  <c r="K100" i="14"/>
  <c r="K132" i="14" s="1"/>
  <c r="L39" i="17"/>
  <c r="L71" i="17" s="1"/>
  <c r="L43" i="14"/>
  <c r="M91" i="6"/>
  <c r="K42" i="16"/>
  <c r="K63" i="16" s="1"/>
  <c r="K42" i="12"/>
  <c r="L80" i="5"/>
  <c r="K131" i="12"/>
  <c r="K156" i="5"/>
  <c r="M19" i="30"/>
  <c r="M28" i="30" s="1"/>
  <c r="J113" i="8"/>
  <c r="M5" i="30" s="1"/>
  <c r="M6" i="30" s="1"/>
  <c r="K99" i="8"/>
  <c r="I21" i="4"/>
  <c r="K43" i="16"/>
  <c r="L81" i="5"/>
  <c r="N87" i="5"/>
  <c r="M122" i="5"/>
  <c r="I73" i="11"/>
  <c r="J62" i="11"/>
  <c r="I36" i="18"/>
  <c r="N105" i="5"/>
  <c r="K48" i="17"/>
  <c r="K80" i="17" s="1"/>
  <c r="K52" i="14"/>
  <c r="L100" i="6"/>
  <c r="I149" i="10"/>
  <c r="J98" i="10"/>
  <c r="I129" i="10"/>
  <c r="J127" i="11"/>
  <c r="J110" i="11"/>
  <c r="K85" i="11"/>
  <c r="F14" i="4"/>
  <c r="H102" i="9"/>
  <c r="H75" i="9"/>
  <c r="H111" i="9" s="1"/>
  <c r="H87" i="9"/>
  <c r="I66" i="9"/>
  <c r="L165" i="6"/>
  <c r="M119" i="6"/>
  <c r="H11" i="4"/>
  <c r="G29" i="4"/>
  <c r="J154" i="14"/>
  <c r="J179" i="14"/>
  <c r="J186" i="14" s="1"/>
  <c r="K205" i="14"/>
  <c r="L85" i="14"/>
  <c r="K153" i="14"/>
  <c r="K185" i="14" s="1"/>
  <c r="K101" i="14"/>
  <c r="K133" i="14" s="1"/>
  <c r="K164" i="8"/>
  <c r="L116" i="8"/>
  <c r="K202" i="8"/>
  <c r="K182" i="8"/>
  <c r="L134" i="8"/>
  <c r="N103" i="5"/>
  <c r="K44" i="16"/>
  <c r="L82" i="5"/>
  <c r="L163" i="7"/>
  <c r="M109" i="7"/>
  <c r="H110" i="9"/>
  <c r="I72" i="9"/>
  <c r="H93" i="9"/>
  <c r="L120" i="15"/>
  <c r="M65" i="15"/>
  <c r="L78" i="15"/>
  <c r="L103" i="15" s="1"/>
  <c r="I85" i="10"/>
  <c r="J71" i="10"/>
  <c r="I36" i="17"/>
  <c r="N121" i="6"/>
  <c r="K150" i="5"/>
  <c r="L99" i="5"/>
  <c r="K134" i="5"/>
  <c r="P69" i="13"/>
  <c r="L60" i="12"/>
  <c r="K130" i="12"/>
  <c r="K99" i="12"/>
  <c r="K117" i="12" s="1"/>
  <c r="K69" i="12"/>
  <c r="K86" i="12" s="1"/>
  <c r="I138" i="10"/>
  <c r="I118" i="10"/>
  <c r="J87" i="10"/>
  <c r="K153" i="5"/>
  <c r="L102" i="5"/>
  <c r="K155" i="5"/>
  <c r="K137" i="5"/>
  <c r="H120" i="11"/>
  <c r="H103" i="11"/>
  <c r="I78" i="11"/>
  <c r="K203" i="14"/>
  <c r="L83" i="14"/>
  <c r="K151" i="14"/>
  <c r="K183" i="14" s="1"/>
  <c r="K99" i="14"/>
  <c r="K131" i="14" s="1"/>
  <c r="K40" i="14"/>
  <c r="K102" i="6"/>
  <c r="L88" i="6"/>
  <c r="K126" i="7"/>
  <c r="K138" i="7" s="1"/>
  <c r="L89" i="7"/>
  <c r="N18" i="30"/>
  <c r="K36" i="16"/>
  <c r="K36" i="12"/>
  <c r="K84" i="5"/>
  <c r="N4" i="30" s="1"/>
  <c r="L74" i="5"/>
  <c r="K148" i="5"/>
  <c r="K170" i="15"/>
  <c r="K153" i="15"/>
  <c r="L211" i="8"/>
  <c r="M143" i="8"/>
  <c r="L43" i="17"/>
  <c r="L75" i="17" s="1"/>
  <c r="L47" i="14"/>
  <c r="M95" i="6"/>
  <c r="J100" i="11"/>
  <c r="K75" i="11"/>
  <c r="I122" i="10"/>
  <c r="J91" i="10"/>
  <c r="I142" i="10"/>
  <c r="H68" i="17"/>
  <c r="H82" i="17" s="1"/>
  <c r="H84" i="17" s="1"/>
  <c r="H28" i="4" s="1"/>
  <c r="H50" i="17"/>
  <c r="L163" i="8"/>
  <c r="M115" i="8"/>
  <c r="K38" i="16"/>
  <c r="K59" i="16" s="1"/>
  <c r="K38" i="12"/>
  <c r="L76" i="5"/>
  <c r="L127" i="12" s="1"/>
  <c r="J41" i="18"/>
  <c r="J66" i="18" s="1"/>
  <c r="K125" i="12"/>
  <c r="L53" i="12"/>
  <c r="K94" i="12"/>
  <c r="K62" i="12"/>
  <c r="K132" i="12" s="1"/>
  <c r="K64" i="12"/>
  <c r="L29" i="30"/>
  <c r="K37" i="17"/>
  <c r="K69" i="17" s="1"/>
  <c r="K41" i="14"/>
  <c r="L89" i="6"/>
  <c r="L117" i="8"/>
  <c r="K165" i="8"/>
  <c r="K181" i="8" s="1"/>
  <c r="K128" i="12"/>
  <c r="K97" i="12"/>
  <c r="K115" i="12" s="1"/>
  <c r="L56" i="12"/>
  <c r="K67" i="12"/>
  <c r="K84" i="12" s="1"/>
  <c r="H108" i="11"/>
  <c r="I83" i="11"/>
  <c r="H125" i="11"/>
  <c r="K139" i="7"/>
  <c r="L102" i="7"/>
  <c r="K156" i="7"/>
  <c r="K151" i="6"/>
  <c r="K166" i="6" s="1"/>
  <c r="L105" i="6"/>
  <c r="I105" i="11"/>
  <c r="J80" i="11"/>
  <c r="I122" i="11"/>
  <c r="I95" i="9"/>
  <c r="J74" i="9"/>
  <c r="L193" i="6"/>
  <c r="L173" i="6"/>
  <c r="M127" i="6"/>
  <c r="G96" i="9"/>
  <c r="G14" i="4" s="1"/>
  <c r="J67" i="9"/>
  <c r="I103" i="9"/>
  <c r="I88" i="9"/>
  <c r="L106" i="6"/>
  <c r="K152" i="6"/>
  <c r="K167" i="6" s="1"/>
  <c r="K44" i="18"/>
  <c r="K69" i="18" s="1"/>
  <c r="L84" i="13"/>
  <c r="N96" i="7"/>
  <c r="M133" i="7"/>
  <c r="L37" i="16"/>
  <c r="L58" i="16" s="1"/>
  <c r="L37" i="12"/>
  <c r="M75" i="5"/>
  <c r="I108" i="9"/>
  <c r="J70" i="9"/>
  <c r="I106" i="9"/>
  <c r="I91" i="9"/>
  <c r="K147" i="7"/>
  <c r="L110" i="7"/>
  <c r="K164" i="7"/>
  <c r="J199" i="6"/>
  <c r="K151" i="5"/>
  <c r="L100" i="5"/>
  <c r="K205" i="8"/>
  <c r="K185" i="8"/>
  <c r="L137" i="8"/>
  <c r="M121" i="5"/>
  <c r="M132" i="5" s="1"/>
  <c r="N86" i="5"/>
  <c r="K129" i="15"/>
  <c r="L74" i="15"/>
  <c r="K87" i="15"/>
  <c r="K112" i="15" s="1"/>
  <c r="K179" i="6" l="1"/>
  <c r="K9" i="4" s="1"/>
  <c r="K149" i="7"/>
  <c r="K10" i="4" s="1"/>
  <c r="H15" i="4"/>
  <c r="J73" i="11"/>
  <c r="K62" i="11"/>
  <c r="J36" i="18"/>
  <c r="O99" i="7"/>
  <c r="N136" i="7"/>
  <c r="L200" i="14"/>
  <c r="L148" i="14"/>
  <c r="L180" i="14" s="1"/>
  <c r="M80" i="14"/>
  <c r="L96" i="14"/>
  <c r="L128" i="14" s="1"/>
  <c r="L125" i="12"/>
  <c r="M53" i="12"/>
  <c r="L94" i="12"/>
  <c r="L62" i="12"/>
  <c r="L64" i="12"/>
  <c r="L203" i="14"/>
  <c r="M83" i="14"/>
  <c r="L151" i="14"/>
  <c r="L183" i="14" s="1"/>
  <c r="L99" i="14"/>
  <c r="L131" i="14" s="1"/>
  <c r="M39" i="16"/>
  <c r="M60" i="16" s="1"/>
  <c r="M39" i="12"/>
  <c r="N77" i="5"/>
  <c r="K102" i="14"/>
  <c r="K120" i="14"/>
  <c r="K134" i="14" s="1"/>
  <c r="N128" i="6"/>
  <c r="M156" i="6"/>
  <c r="N110" i="6"/>
  <c r="L163" i="6"/>
  <c r="M117" i="6"/>
  <c r="L151" i="5"/>
  <c r="M100" i="5"/>
  <c r="L44" i="18"/>
  <c r="L69" i="18" s="1"/>
  <c r="M84" i="13"/>
  <c r="G17" i="4"/>
  <c r="L37" i="17"/>
  <c r="L69" i="17" s="1"/>
  <c r="L41" i="14"/>
  <c r="M89" i="6"/>
  <c r="J138" i="10"/>
  <c r="J118" i="10"/>
  <c r="K87" i="10"/>
  <c r="I68" i="17"/>
  <c r="I82" i="17" s="1"/>
  <c r="I84" i="17" s="1"/>
  <c r="I28" i="4" s="1"/>
  <c r="I50" i="17"/>
  <c r="L205" i="14"/>
  <c r="L153" i="14"/>
  <c r="L185" i="14" s="1"/>
  <c r="M85" i="14"/>
  <c r="L101" i="14"/>
  <c r="L133" i="14" s="1"/>
  <c r="L48" i="17"/>
  <c r="L80" i="17" s="1"/>
  <c r="L52" i="14"/>
  <c r="M100" i="6"/>
  <c r="K97" i="13"/>
  <c r="K102" i="13" s="1"/>
  <c r="L189" i="6"/>
  <c r="L169" i="6"/>
  <c r="M123" i="6"/>
  <c r="L40" i="15"/>
  <c r="M78" i="7"/>
  <c r="M191" i="6"/>
  <c r="M171" i="6"/>
  <c r="N125" i="6"/>
  <c r="L124" i="5"/>
  <c r="L135" i="5" s="1"/>
  <c r="M89" i="5"/>
  <c r="L175" i="8"/>
  <c r="L191" i="8" s="1"/>
  <c r="M127" i="8"/>
  <c r="L45" i="15"/>
  <c r="M83" i="7"/>
  <c r="O100" i="12"/>
  <c r="O118" i="12" s="1"/>
  <c r="P61" i="12"/>
  <c r="O70" i="12"/>
  <c r="O87" i="12" s="1"/>
  <c r="N40" i="16"/>
  <c r="N61" i="16" s="1"/>
  <c r="N40" i="12"/>
  <c r="O78" i="5"/>
  <c r="K146" i="15"/>
  <c r="K163" i="15"/>
  <c r="M41" i="15"/>
  <c r="N79" i="7"/>
  <c r="L184" i="8"/>
  <c r="L204" i="8"/>
  <c r="M136" i="8"/>
  <c r="K161" i="15"/>
  <c r="K144" i="15"/>
  <c r="K130" i="15"/>
  <c r="K172" i="15" s="1"/>
  <c r="L48" i="15"/>
  <c r="M86" i="7"/>
  <c r="O129" i="6"/>
  <c r="M47" i="17"/>
  <c r="M79" i="17" s="1"/>
  <c r="M51" i="14"/>
  <c r="N99" i="6"/>
  <c r="M96" i="12"/>
  <c r="M114" i="12" s="1"/>
  <c r="N55" i="12"/>
  <c r="M66" i="12"/>
  <c r="M83" i="12" s="1"/>
  <c r="L161" i="6"/>
  <c r="M115" i="6"/>
  <c r="M20" i="30"/>
  <c r="L47" i="15"/>
  <c r="M85" i="7"/>
  <c r="O24" i="30"/>
  <c r="L179" i="8"/>
  <c r="M131" i="8"/>
  <c r="L145" i="8"/>
  <c r="K119" i="11"/>
  <c r="K102" i="11"/>
  <c r="L77" i="11"/>
  <c r="L167" i="8"/>
  <c r="L183" i="8" s="1"/>
  <c r="M119" i="8"/>
  <c r="O121" i="6"/>
  <c r="L133" i="5"/>
  <c r="L149" i="5"/>
  <c r="M98" i="5"/>
  <c r="L107" i="5"/>
  <c r="O23" i="30"/>
  <c r="J122" i="11"/>
  <c r="K80" i="11"/>
  <c r="J105" i="11"/>
  <c r="M73" i="14"/>
  <c r="L193" i="14"/>
  <c r="L141" i="14"/>
  <c r="L173" i="14" s="1"/>
  <c r="L89" i="14"/>
  <c r="L121" i="14" s="1"/>
  <c r="N123" i="8"/>
  <c r="M171" i="8"/>
  <c r="N42" i="17"/>
  <c r="N74" i="17" s="1"/>
  <c r="N46" i="14"/>
  <c r="O94" i="6"/>
  <c r="K102" i="15"/>
  <c r="K113" i="15" s="1"/>
  <c r="K88" i="15"/>
  <c r="L170" i="8"/>
  <c r="L186" i="8" s="1"/>
  <c r="M122" i="8"/>
  <c r="L45" i="18"/>
  <c r="L70" i="18" s="1"/>
  <c r="M85" i="13"/>
  <c r="L92" i="13"/>
  <c r="M174" i="8"/>
  <c r="N126" i="8"/>
  <c r="L160" i="7"/>
  <c r="M106" i="7"/>
  <c r="L129" i="15"/>
  <c r="M74" i="15"/>
  <c r="L87" i="15"/>
  <c r="L112" i="15" s="1"/>
  <c r="J108" i="9"/>
  <c r="K70" i="9"/>
  <c r="J106" i="9"/>
  <c r="J91" i="9"/>
  <c r="M173" i="6"/>
  <c r="N127" i="6"/>
  <c r="L151" i="6"/>
  <c r="M105" i="6"/>
  <c r="M43" i="17"/>
  <c r="M75" i="17" s="1"/>
  <c r="M47" i="14"/>
  <c r="N95" i="6"/>
  <c r="L40" i="14"/>
  <c r="M88" i="6"/>
  <c r="L102" i="6"/>
  <c r="L199" i="6" s="1"/>
  <c r="I103" i="11"/>
  <c r="J78" i="11"/>
  <c r="I120" i="11"/>
  <c r="J85" i="10"/>
  <c r="K71" i="10"/>
  <c r="J36" i="17"/>
  <c r="M163" i="7"/>
  <c r="N109" i="7"/>
  <c r="L202" i="8"/>
  <c r="L182" i="8"/>
  <c r="M134" i="8"/>
  <c r="M165" i="6"/>
  <c r="N119" i="6"/>
  <c r="M185" i="6"/>
  <c r="F17" i="4"/>
  <c r="N122" i="5"/>
  <c r="O87" i="5"/>
  <c r="L81" i="13"/>
  <c r="M76" i="13"/>
  <c r="M98" i="7"/>
  <c r="L135" i="7"/>
  <c r="L208" i="8"/>
  <c r="L188" i="8"/>
  <c r="M140" i="8"/>
  <c r="N206" i="8"/>
  <c r="O138" i="8"/>
  <c r="M42" i="15"/>
  <c r="N80" i="7"/>
  <c r="L132" i="7"/>
  <c r="M95" i="7"/>
  <c r="J105" i="9"/>
  <c r="J90" i="9"/>
  <c r="K69" i="9"/>
  <c r="L159" i="6"/>
  <c r="L174" i="6" s="1"/>
  <c r="M113" i="6"/>
  <c r="M109" i="6"/>
  <c r="L155" i="6"/>
  <c r="M154" i="5"/>
  <c r="M152" i="5"/>
  <c r="N101" i="5"/>
  <c r="K206" i="14"/>
  <c r="J125" i="10"/>
  <c r="K94" i="10"/>
  <c r="J145" i="10"/>
  <c r="L209" i="8"/>
  <c r="M141" i="8"/>
  <c r="L189" i="8"/>
  <c r="M73" i="13"/>
  <c r="L94" i="13"/>
  <c r="L43" i="15"/>
  <c r="M81" i="7"/>
  <c r="O156" i="8"/>
  <c r="N172" i="8"/>
  <c r="K193" i="8"/>
  <c r="N19" i="30"/>
  <c r="K113" i="8"/>
  <c r="N5" i="30" s="1"/>
  <c r="L99" i="8"/>
  <c r="L199" i="8" s="1"/>
  <c r="L134" i="7"/>
  <c r="L146" i="7" s="1"/>
  <c r="M97" i="7"/>
  <c r="M93" i="5"/>
  <c r="L128" i="5"/>
  <c r="L145" i="7"/>
  <c r="M108" i="7"/>
  <c r="L162" i="7"/>
  <c r="I108" i="11"/>
  <c r="J83" i="11"/>
  <c r="I125" i="11"/>
  <c r="L130" i="12"/>
  <c r="L99" i="12"/>
  <c r="L117" i="12" s="1"/>
  <c r="M60" i="12"/>
  <c r="L69" i="12"/>
  <c r="L86" i="12" s="1"/>
  <c r="J130" i="10"/>
  <c r="K99" i="10"/>
  <c r="J150" i="10"/>
  <c r="I23" i="4"/>
  <c r="M41" i="17"/>
  <c r="M73" i="17" s="1"/>
  <c r="M45" i="14"/>
  <c r="N93" i="6"/>
  <c r="L43" i="18"/>
  <c r="L68" i="18" s="1"/>
  <c r="M83" i="13"/>
  <c r="L90" i="13"/>
  <c r="L97" i="13" s="1"/>
  <c r="L157" i="5"/>
  <c r="L139" i="5"/>
  <c r="M104" i="5"/>
  <c r="L186" i="6"/>
  <c r="L166" i="6"/>
  <c r="L179" i="6" s="1"/>
  <c r="L9" i="4" s="1"/>
  <c r="M120" i="6"/>
  <c r="M133" i="6" s="1"/>
  <c r="M127" i="5"/>
  <c r="M138" i="5" s="1"/>
  <c r="N92" i="5"/>
  <c r="N168" i="8"/>
  <c r="O120" i="8"/>
  <c r="M56" i="12"/>
  <c r="L128" i="12"/>
  <c r="L97" i="12"/>
  <c r="L115" i="12" s="1"/>
  <c r="L67" i="12"/>
  <c r="L84" i="12" s="1"/>
  <c r="O18" i="30"/>
  <c r="L36" i="16"/>
  <c r="L36" i="12"/>
  <c r="L84" i="5"/>
  <c r="O4" i="30" s="1"/>
  <c r="M74" i="5"/>
  <c r="L148" i="5"/>
  <c r="K127" i="11"/>
  <c r="K110" i="11"/>
  <c r="L85" i="11"/>
  <c r="L43" i="16"/>
  <c r="M81" i="5"/>
  <c r="L152" i="14"/>
  <c r="L184" i="14" s="1"/>
  <c r="M84" i="14"/>
  <c r="L204" i="14"/>
  <c r="L100" i="14"/>
  <c r="L132" i="14" s="1"/>
  <c r="K41" i="18"/>
  <c r="K66" i="18" s="1"/>
  <c r="M128" i="15"/>
  <c r="N73" i="15"/>
  <c r="M86" i="15"/>
  <c r="M111" i="15" s="1"/>
  <c r="L199" i="14"/>
  <c r="L147" i="14"/>
  <c r="M79" i="14"/>
  <c r="L95" i="14"/>
  <c r="L127" i="14" s="1"/>
  <c r="L210" i="8"/>
  <c r="M142" i="8"/>
  <c r="L190" i="8"/>
  <c r="L44" i="17"/>
  <c r="L76" i="17" s="1"/>
  <c r="L48" i="14"/>
  <c r="M96" i="6"/>
  <c r="M193" i="6" s="1"/>
  <c r="J121" i="11"/>
  <c r="J104" i="11"/>
  <c r="K79" i="11"/>
  <c r="O97" i="5"/>
  <c r="L87" i="7"/>
  <c r="N91" i="5"/>
  <c r="M126" i="5"/>
  <c r="O71" i="13"/>
  <c r="L40" i="17"/>
  <c r="L72" i="17" s="1"/>
  <c r="L44" i="14"/>
  <c r="M92" i="6"/>
  <c r="L75" i="15"/>
  <c r="L119" i="15"/>
  <c r="M64" i="15"/>
  <c r="L77" i="15"/>
  <c r="G27" i="4"/>
  <c r="J146" i="10"/>
  <c r="J126" i="10"/>
  <c r="K95" i="10"/>
  <c r="M124" i="15"/>
  <c r="N69" i="15"/>
  <c r="M82" i="15"/>
  <c r="M107" i="15" s="1"/>
  <c r="L160" i="6"/>
  <c r="L175" i="6" s="1"/>
  <c r="M114" i="6"/>
  <c r="L197" i="6"/>
  <c r="L177" i="6"/>
  <c r="M131" i="6"/>
  <c r="M39" i="18"/>
  <c r="M64" i="18" s="1"/>
  <c r="N79" i="13"/>
  <c r="M111" i="13"/>
  <c r="J53" i="20"/>
  <c r="J54" i="20" s="1"/>
  <c r="J34" i="4" s="1"/>
  <c r="K46" i="20"/>
  <c r="L37" i="18"/>
  <c r="L62" i="18" s="1"/>
  <c r="L109" i="13"/>
  <c r="M77" i="13"/>
  <c r="L178" i="6"/>
  <c r="M132" i="6"/>
  <c r="L198" i="6"/>
  <c r="P121" i="8"/>
  <c r="P169" i="8" s="1"/>
  <c r="O169" i="8"/>
  <c r="L155" i="7"/>
  <c r="M101" i="7"/>
  <c r="L112" i="7"/>
  <c r="L166" i="7" s="1"/>
  <c r="N10" i="30"/>
  <c r="N14" i="30" s="1"/>
  <c r="K213" i="8"/>
  <c r="L40" i="18"/>
  <c r="L65" i="18" s="1"/>
  <c r="L101" i="13"/>
  <c r="L112" i="13"/>
  <c r="M80" i="13"/>
  <c r="M67" i="15"/>
  <c r="L122" i="15"/>
  <c r="L80" i="15"/>
  <c r="L105" i="15" s="1"/>
  <c r="J21" i="4"/>
  <c r="J23" i="4" s="1"/>
  <c r="N88" i="5"/>
  <c r="M123" i="5"/>
  <c r="M11" i="30"/>
  <c r="M15" i="30" s="1"/>
  <c r="M13" i="30"/>
  <c r="K112" i="12"/>
  <c r="K119" i="12" s="1"/>
  <c r="K101" i="12"/>
  <c r="O103" i="5"/>
  <c r="M116" i="7"/>
  <c r="L128" i="7"/>
  <c r="L129" i="7"/>
  <c r="M92" i="7"/>
  <c r="N139" i="8"/>
  <c r="M207" i="8"/>
  <c r="M187" i="8"/>
  <c r="I143" i="10"/>
  <c r="I123" i="10"/>
  <c r="I132" i="10" s="1"/>
  <c r="I15" i="4" s="1"/>
  <c r="J92" i="10"/>
  <c r="J101" i="10" s="1"/>
  <c r="J152" i="10" s="1"/>
  <c r="L38" i="17"/>
  <c r="L70" i="17" s="1"/>
  <c r="L42" i="14"/>
  <c r="M90" i="6"/>
  <c r="L187" i="6"/>
  <c r="L200" i="8"/>
  <c r="M132" i="8"/>
  <c r="L197" i="14"/>
  <c r="L145" i="14"/>
  <c r="L177" i="14" s="1"/>
  <c r="M77" i="14"/>
  <c r="L93" i="14"/>
  <c r="L125" i="14" s="1"/>
  <c r="L158" i="7"/>
  <c r="L141" i="7"/>
  <c r="M104" i="7"/>
  <c r="L131" i="7"/>
  <c r="L143" i="7" s="1"/>
  <c r="M94" i="7"/>
  <c r="K154" i="15"/>
  <c r="K171" i="15"/>
  <c r="O86" i="5"/>
  <c r="N121" i="5"/>
  <c r="N132" i="5" s="1"/>
  <c r="M37" i="16"/>
  <c r="M58" i="16" s="1"/>
  <c r="M37" i="12"/>
  <c r="N75" i="5"/>
  <c r="L152" i="6"/>
  <c r="L167" i="6" s="1"/>
  <c r="M106" i="6"/>
  <c r="L38" i="16"/>
  <c r="L59" i="16" s="1"/>
  <c r="L38" i="12"/>
  <c r="M76" i="5"/>
  <c r="K91" i="10"/>
  <c r="J142" i="10"/>
  <c r="J122" i="10"/>
  <c r="N6" i="30"/>
  <c r="K54" i="14"/>
  <c r="L134" i="5"/>
  <c r="L150" i="5"/>
  <c r="M99" i="5"/>
  <c r="L185" i="6"/>
  <c r="L42" i="16"/>
  <c r="L63" i="16" s="1"/>
  <c r="L42" i="12"/>
  <c r="M80" i="5"/>
  <c r="L131" i="12"/>
  <c r="L156" i="5"/>
  <c r="L140" i="7"/>
  <c r="M103" i="7"/>
  <c r="L157" i="7"/>
  <c r="L170" i="15"/>
  <c r="L153" i="15"/>
  <c r="L188" i="6"/>
  <c r="L168" i="6"/>
  <c r="M122" i="6"/>
  <c r="J141" i="10"/>
  <c r="J121" i="10"/>
  <c r="K90" i="10"/>
  <c r="K179" i="14"/>
  <c r="K186" i="14" s="1"/>
  <c r="K154" i="14"/>
  <c r="K199" i="6"/>
  <c r="L196" i="6"/>
  <c r="L176" i="6"/>
  <c r="M130" i="6"/>
  <c r="L123" i="15"/>
  <c r="M68" i="15"/>
  <c r="L81" i="15"/>
  <c r="L106" i="15" s="1"/>
  <c r="M38" i="15"/>
  <c r="N76" i="7"/>
  <c r="J124" i="11"/>
  <c r="J107" i="11"/>
  <c r="K82" i="11"/>
  <c r="M93" i="13"/>
  <c r="M100" i="13" s="1"/>
  <c r="N72" i="13"/>
  <c r="L170" i="6"/>
  <c r="M124" i="6"/>
  <c r="L190" i="6"/>
  <c r="L192" i="14"/>
  <c r="L86" i="14"/>
  <c r="L206" i="14" s="1"/>
  <c r="L140" i="14"/>
  <c r="L172" i="14" s="1"/>
  <c r="M72" i="14"/>
  <c r="L88" i="14"/>
  <c r="M90" i="7"/>
  <c r="L127" i="7"/>
  <c r="L139" i="7" s="1"/>
  <c r="L126" i="15"/>
  <c r="M71" i="15"/>
  <c r="L84" i="15"/>
  <c r="L109" i="15" s="1"/>
  <c r="N157" i="6"/>
  <c r="O111" i="6"/>
  <c r="I54" i="16"/>
  <c r="H64" i="16"/>
  <c r="I118" i="11"/>
  <c r="I101" i="11"/>
  <c r="J76" i="11"/>
  <c r="I86" i="11"/>
  <c r="I128" i="11" s="1"/>
  <c r="L149" i="15"/>
  <c r="L166" i="15"/>
  <c r="J147" i="10"/>
  <c r="K96" i="10"/>
  <c r="J127" i="10"/>
  <c r="N9" i="30"/>
  <c r="K158" i="5"/>
  <c r="L196" i="14"/>
  <c r="M76" i="14"/>
  <c r="L144" i="14"/>
  <c r="L176" i="14" s="1"/>
  <c r="L92" i="14"/>
  <c r="L124" i="14" s="1"/>
  <c r="M29" i="30"/>
  <c r="L141" i="5"/>
  <c r="M106" i="5"/>
  <c r="N78" i="14"/>
  <c r="M198" i="14"/>
  <c r="M146" i="14"/>
  <c r="M178" i="14" s="1"/>
  <c r="M94" i="14"/>
  <c r="M126" i="14" s="1"/>
  <c r="I144" i="10"/>
  <c r="J93" i="10"/>
  <c r="I124" i="10"/>
  <c r="K199" i="8"/>
  <c r="K164" i="15"/>
  <c r="K147" i="15"/>
  <c r="K169" i="15"/>
  <c r="K152" i="15"/>
  <c r="M46" i="18"/>
  <c r="M71" i="18" s="1"/>
  <c r="N86" i="13"/>
  <c r="N20" i="30"/>
  <c r="L45" i="17"/>
  <c r="L77" i="17" s="1"/>
  <c r="L49" i="14"/>
  <c r="M97" i="6"/>
  <c r="M194" i="6" s="1"/>
  <c r="K67" i="13"/>
  <c r="K113" i="13" s="1"/>
  <c r="L62" i="13"/>
  <c r="L108" i="13" s="1"/>
  <c r="N133" i="7"/>
  <c r="O96" i="7"/>
  <c r="K117" i="11"/>
  <c r="L75" i="11"/>
  <c r="K100" i="11"/>
  <c r="M75" i="14"/>
  <c r="L143" i="14"/>
  <c r="L175" i="14" s="1"/>
  <c r="L195" i="14"/>
  <c r="L91" i="14"/>
  <c r="L123" i="14" s="1"/>
  <c r="J95" i="9"/>
  <c r="K74" i="9"/>
  <c r="M102" i="7"/>
  <c r="L156" i="7"/>
  <c r="K71" i="12"/>
  <c r="K81" i="12"/>
  <c r="K88" i="12" s="1"/>
  <c r="K20" i="4" s="1"/>
  <c r="K43" i="12"/>
  <c r="M120" i="15"/>
  <c r="N65" i="15"/>
  <c r="M78" i="15"/>
  <c r="M103" i="15" s="1"/>
  <c r="L44" i="16"/>
  <c r="M82" i="5"/>
  <c r="L164" i="8"/>
  <c r="L180" i="8" s="1"/>
  <c r="M116" i="8"/>
  <c r="I102" i="9"/>
  <c r="I87" i="9"/>
  <c r="I75" i="9"/>
  <c r="I111" i="9" s="1"/>
  <c r="J66" i="9"/>
  <c r="O105" i="5"/>
  <c r="M167" i="15"/>
  <c r="M150" i="15"/>
  <c r="O94" i="5"/>
  <c r="N129" i="5"/>
  <c r="N140" i="5" s="1"/>
  <c r="J155" i="15"/>
  <c r="K148" i="15"/>
  <c r="K165" i="15"/>
  <c r="O44" i="15"/>
  <c r="P82" i="7"/>
  <c r="P44" i="15" s="1"/>
  <c r="K42" i="18"/>
  <c r="K67" i="18" s="1"/>
  <c r="L68" i="11"/>
  <c r="N130" i="5"/>
  <c r="O95" i="5"/>
  <c r="K151" i="15"/>
  <c r="K168" i="15"/>
  <c r="L201" i="14"/>
  <c r="M81" i="14"/>
  <c r="L149" i="14"/>
  <c r="L181" i="14" s="1"/>
  <c r="L97" i="14"/>
  <c r="L129" i="14" s="1"/>
  <c r="M125" i="5"/>
  <c r="M136" i="5" s="1"/>
  <c r="N90" i="5"/>
  <c r="L129" i="12"/>
  <c r="L98" i="12"/>
  <c r="L116" i="12" s="1"/>
  <c r="M59" i="12"/>
  <c r="L68" i="12"/>
  <c r="L85" i="12" s="1"/>
  <c r="L202" i="14"/>
  <c r="L150" i="14"/>
  <c r="L182" i="14" s="1"/>
  <c r="M82" i="14"/>
  <c r="L98" i="14"/>
  <c r="L130" i="14" s="1"/>
  <c r="H111" i="11"/>
  <c r="H16" i="4" s="1"/>
  <c r="I55" i="16"/>
  <c r="H65" i="16"/>
  <c r="L39" i="15"/>
  <c r="L49" i="15" s="1"/>
  <c r="M77" i="7"/>
  <c r="M87" i="7" s="1"/>
  <c r="M203" i="8"/>
  <c r="N135" i="8"/>
  <c r="N27" i="30"/>
  <c r="N25" i="30"/>
  <c r="I107" i="9"/>
  <c r="I92" i="9"/>
  <c r="I109" i="9"/>
  <c r="J71" i="9"/>
  <c r="I123" i="11"/>
  <c r="I106" i="11"/>
  <c r="J81" i="11"/>
  <c r="O91" i="7"/>
  <c r="L46" i="17"/>
  <c r="L78" i="17" s="1"/>
  <c r="L50" i="14"/>
  <c r="M98" i="6"/>
  <c r="L195" i="6"/>
  <c r="L161" i="7"/>
  <c r="M107" i="7"/>
  <c r="L144" i="7"/>
  <c r="N28" i="30"/>
  <c r="K89" i="9"/>
  <c r="L68" i="9"/>
  <c r="K104" i="9"/>
  <c r="L127" i="15"/>
  <c r="M72" i="15"/>
  <c r="L85" i="15"/>
  <c r="L110" i="15" s="1"/>
  <c r="N115" i="8"/>
  <c r="M163" i="8"/>
  <c r="L153" i="5"/>
  <c r="M102" i="5"/>
  <c r="L137" i="5"/>
  <c r="L155" i="5"/>
  <c r="J149" i="10"/>
  <c r="J129" i="10"/>
  <c r="K98" i="10"/>
  <c r="M39" i="17"/>
  <c r="M71" i="17" s="1"/>
  <c r="M43" i="14"/>
  <c r="N91" i="6"/>
  <c r="L95" i="12"/>
  <c r="L113" i="12" s="1"/>
  <c r="M54" i="12"/>
  <c r="L126" i="12"/>
  <c r="L65" i="12"/>
  <c r="L82" i="12" s="1"/>
  <c r="K139" i="10"/>
  <c r="K119" i="10"/>
  <c r="L88" i="10"/>
  <c r="N158" i="6"/>
  <c r="O112" i="6"/>
  <c r="J103" i="9"/>
  <c r="J88" i="9"/>
  <c r="K67" i="9"/>
  <c r="M117" i="8"/>
  <c r="L165" i="8"/>
  <c r="L126" i="7"/>
  <c r="L138" i="7" s="1"/>
  <c r="M89" i="7"/>
  <c r="I110" i="9"/>
  <c r="I93" i="9"/>
  <c r="J72" i="9"/>
  <c r="M173" i="8"/>
  <c r="N125" i="8"/>
  <c r="L121" i="15"/>
  <c r="M66" i="15"/>
  <c r="L79" i="15"/>
  <c r="L104" i="15" s="1"/>
  <c r="L205" i="8"/>
  <c r="L185" i="8"/>
  <c r="M137" i="8"/>
  <c r="M110" i="7"/>
  <c r="L164" i="7"/>
  <c r="L147" i="7"/>
  <c r="J117" i="11"/>
  <c r="M211" i="8"/>
  <c r="N143" i="8"/>
  <c r="K57" i="16"/>
  <c r="K45" i="16"/>
  <c r="L162" i="15"/>
  <c r="L145" i="15"/>
  <c r="H96" i="9"/>
  <c r="H14" i="4" s="1"/>
  <c r="H17" i="4" s="1"/>
  <c r="I47" i="18"/>
  <c r="I61" i="18"/>
  <c r="I72" i="18" s="1"/>
  <c r="I74" i="18" s="1"/>
  <c r="M154" i="6"/>
  <c r="N108" i="6"/>
  <c r="N125" i="15"/>
  <c r="O70" i="15"/>
  <c r="N83" i="15"/>
  <c r="N108" i="15" s="1"/>
  <c r="L38" i="18"/>
  <c r="L63" i="18" s="1"/>
  <c r="M78" i="13"/>
  <c r="L99" i="13"/>
  <c r="L110" i="13"/>
  <c r="M105" i="7"/>
  <c r="L159" i="7"/>
  <c r="J213" i="8"/>
  <c r="M144" i="8"/>
  <c r="L212" i="8"/>
  <c r="L192" i="8"/>
  <c r="M93" i="7"/>
  <c r="L130" i="7"/>
  <c r="L142" i="7" s="1"/>
  <c r="N41" i="16"/>
  <c r="N62" i="16" s="1"/>
  <c r="N41" i="12"/>
  <c r="O79" i="5"/>
  <c r="N153" i="6"/>
  <c r="O107" i="6"/>
  <c r="I151" i="10"/>
  <c r="I131" i="10"/>
  <c r="J100" i="10"/>
  <c r="K128" i="10"/>
  <c r="L97" i="10"/>
  <c r="K148" i="10"/>
  <c r="L194" i="14"/>
  <c r="L142" i="14"/>
  <c r="L174" i="14" s="1"/>
  <c r="M74" i="14"/>
  <c r="L90" i="14"/>
  <c r="L122" i="14" s="1"/>
  <c r="L64" i="9"/>
  <c r="M55" i="9"/>
  <c r="M49" i="17"/>
  <c r="M81" i="17" s="1"/>
  <c r="M53" i="14"/>
  <c r="N101" i="6"/>
  <c r="N128" i="8"/>
  <c r="M176" i="8"/>
  <c r="L91" i="13"/>
  <c r="L98" i="13" s="1"/>
  <c r="M70" i="13"/>
  <c r="L201" i="8"/>
  <c r="L181" i="8"/>
  <c r="M133" i="8"/>
  <c r="K142" i="5"/>
  <c r="M192" i="6"/>
  <c r="M172" i="6"/>
  <c r="N126" i="6"/>
  <c r="J94" i="9"/>
  <c r="K73" i="9"/>
  <c r="J120" i="10"/>
  <c r="K89" i="10"/>
  <c r="J140" i="10"/>
  <c r="L148" i="7"/>
  <c r="M111" i="7"/>
  <c r="L165" i="7"/>
  <c r="J22" i="4"/>
  <c r="I126" i="11"/>
  <c r="I109" i="11"/>
  <c r="J84" i="11"/>
  <c r="M162" i="6"/>
  <c r="N116" i="6"/>
  <c r="M46" i="15"/>
  <c r="N84" i="7"/>
  <c r="J9" i="4"/>
  <c r="J10" i="4"/>
  <c r="L102" i="13" l="1"/>
  <c r="L149" i="7"/>
  <c r="K120" i="10"/>
  <c r="L89" i="10"/>
  <c r="K140" i="10"/>
  <c r="M201" i="8"/>
  <c r="N133" i="8"/>
  <c r="O41" i="16"/>
  <c r="O62" i="16" s="1"/>
  <c r="O41" i="12"/>
  <c r="P79" i="5"/>
  <c r="O158" i="6"/>
  <c r="P112" i="6"/>
  <c r="P158" i="6" s="1"/>
  <c r="M46" i="17"/>
  <c r="M78" i="17" s="1"/>
  <c r="M50" i="14"/>
  <c r="N98" i="6"/>
  <c r="M195" i="6"/>
  <c r="J107" i="9"/>
  <c r="J109" i="9"/>
  <c r="K71" i="9"/>
  <c r="J92" i="9"/>
  <c r="L42" i="18"/>
  <c r="L67" i="18" s="1"/>
  <c r="M68" i="11"/>
  <c r="I96" i="9"/>
  <c r="I14" i="4" s="1"/>
  <c r="M162" i="15"/>
  <c r="M145" i="15"/>
  <c r="M141" i="5"/>
  <c r="N106" i="5"/>
  <c r="N11" i="30"/>
  <c r="N15" i="30" s="1"/>
  <c r="N13" i="30"/>
  <c r="J118" i="11"/>
  <c r="J101" i="11"/>
  <c r="K76" i="11"/>
  <c r="J86" i="11"/>
  <c r="J128" i="11" s="1"/>
  <c r="M126" i="15"/>
  <c r="N71" i="15"/>
  <c r="M84" i="15"/>
  <c r="M109" i="15" s="1"/>
  <c r="M188" i="6"/>
  <c r="M168" i="6"/>
  <c r="N122" i="6"/>
  <c r="M134" i="5"/>
  <c r="N99" i="5"/>
  <c r="M150" i="5"/>
  <c r="M38" i="16"/>
  <c r="M59" i="16" s="1"/>
  <c r="M38" i="12"/>
  <c r="N76" i="5"/>
  <c r="P97" i="5"/>
  <c r="N84" i="14"/>
  <c r="M204" i="14"/>
  <c r="M152" i="14"/>
  <c r="M184" i="14" s="1"/>
  <c r="M100" i="14"/>
  <c r="M132" i="14" s="1"/>
  <c r="N41" i="17"/>
  <c r="N73" i="17" s="1"/>
  <c r="N45" i="14"/>
  <c r="O93" i="6"/>
  <c r="M94" i="13"/>
  <c r="N73" i="13"/>
  <c r="M159" i="6"/>
  <c r="M174" i="6" s="1"/>
  <c r="N113" i="6"/>
  <c r="M135" i="7"/>
  <c r="N98" i="7"/>
  <c r="O109" i="7"/>
  <c r="N163" i="7"/>
  <c r="J103" i="11"/>
  <c r="K78" i="11"/>
  <c r="J120" i="11"/>
  <c r="K108" i="9"/>
  <c r="K106" i="9"/>
  <c r="K91" i="9"/>
  <c r="L70" i="9"/>
  <c r="O126" i="8"/>
  <c r="N174" i="8"/>
  <c r="M133" i="5"/>
  <c r="M149" i="5"/>
  <c r="N98" i="5"/>
  <c r="P23" i="30"/>
  <c r="M107" i="5"/>
  <c r="L119" i="11"/>
  <c r="L102" i="11"/>
  <c r="M77" i="11"/>
  <c r="M47" i="15"/>
  <c r="N85" i="7"/>
  <c r="M127" i="12"/>
  <c r="P100" i="12"/>
  <c r="P118" i="12" s="1"/>
  <c r="P70" i="12"/>
  <c r="P87" i="12" s="1"/>
  <c r="M37" i="17"/>
  <c r="M69" i="17" s="1"/>
  <c r="M41" i="14"/>
  <c r="N89" i="6"/>
  <c r="M203" i="14"/>
  <c r="M151" i="14"/>
  <c r="M183" i="14" s="1"/>
  <c r="N83" i="14"/>
  <c r="M99" i="14"/>
  <c r="M131" i="14" s="1"/>
  <c r="M200" i="14"/>
  <c r="M148" i="14"/>
  <c r="M180" i="14" s="1"/>
  <c r="N80" i="14"/>
  <c r="M96" i="14"/>
  <c r="M128" i="14" s="1"/>
  <c r="O125" i="15"/>
  <c r="P70" i="15"/>
  <c r="O83" i="15"/>
  <c r="O108" i="15" s="1"/>
  <c r="M126" i="7"/>
  <c r="N89" i="7"/>
  <c r="N39" i="17"/>
  <c r="N71" i="17" s="1"/>
  <c r="N43" i="14"/>
  <c r="O91" i="6"/>
  <c r="L89" i="9"/>
  <c r="M68" i="9"/>
  <c r="L104" i="9"/>
  <c r="P94" i="5"/>
  <c r="P129" i="5" s="1"/>
  <c r="O129" i="5"/>
  <c r="O140" i="5" s="1"/>
  <c r="O133" i="7"/>
  <c r="P96" i="7"/>
  <c r="P133" i="7" s="1"/>
  <c r="I111" i="11"/>
  <c r="I16" i="4" s="1"/>
  <c r="L151" i="15"/>
  <c r="L168" i="15"/>
  <c r="N38" i="15"/>
  <c r="O76" i="7"/>
  <c r="P86" i="5"/>
  <c r="P121" i="5" s="1"/>
  <c r="O121" i="5"/>
  <c r="O132" i="5" s="1"/>
  <c r="M38" i="17"/>
  <c r="M70" i="17" s="1"/>
  <c r="M42" i="14"/>
  <c r="N90" i="6"/>
  <c r="M187" i="6"/>
  <c r="N207" i="8"/>
  <c r="O139" i="8"/>
  <c r="P103" i="5"/>
  <c r="N132" i="6"/>
  <c r="M198" i="6"/>
  <c r="M160" i="6"/>
  <c r="M175" i="6" s="1"/>
  <c r="N114" i="6"/>
  <c r="M145" i="7"/>
  <c r="N108" i="7"/>
  <c r="M162" i="7"/>
  <c r="N154" i="5"/>
  <c r="N152" i="5"/>
  <c r="O101" i="5"/>
  <c r="O206" i="8"/>
  <c r="P138" i="8"/>
  <c r="M151" i="6"/>
  <c r="N105" i="6"/>
  <c r="O42" i="17"/>
  <c r="O74" i="17" s="1"/>
  <c r="O46" i="14"/>
  <c r="P94" i="6"/>
  <c r="M193" i="14"/>
  <c r="N73" i="14"/>
  <c r="M141" i="14"/>
  <c r="M173" i="14" s="1"/>
  <c r="M89" i="14"/>
  <c r="M121" i="14" s="1"/>
  <c r="N47" i="17"/>
  <c r="N79" i="17" s="1"/>
  <c r="N51" i="14"/>
  <c r="O99" i="6"/>
  <c r="N191" i="6"/>
  <c r="O125" i="6"/>
  <c r="K21" i="4"/>
  <c r="N105" i="7"/>
  <c r="M159" i="7"/>
  <c r="M142" i="7"/>
  <c r="M121" i="15"/>
  <c r="N66" i="15"/>
  <c r="M79" i="15"/>
  <c r="M104" i="15" s="1"/>
  <c r="L139" i="10"/>
  <c r="L119" i="10"/>
  <c r="M88" i="10"/>
  <c r="M201" i="14"/>
  <c r="N81" i="14"/>
  <c r="M149" i="14"/>
  <c r="M181" i="14" s="1"/>
  <c r="M97" i="14"/>
  <c r="M129" i="14" s="1"/>
  <c r="M164" i="8"/>
  <c r="N116" i="8"/>
  <c r="N46" i="18"/>
  <c r="N71" i="18" s="1"/>
  <c r="O86" i="13"/>
  <c r="J144" i="10"/>
  <c r="K93" i="10"/>
  <c r="J124" i="10"/>
  <c r="K147" i="10"/>
  <c r="K127" i="10"/>
  <c r="L96" i="10"/>
  <c r="N124" i="6"/>
  <c r="M190" i="6"/>
  <c r="M197" i="14"/>
  <c r="M145" i="14"/>
  <c r="M177" i="14" s="1"/>
  <c r="N77" i="14"/>
  <c r="M93" i="14"/>
  <c r="M125" i="14" s="1"/>
  <c r="M129" i="7"/>
  <c r="N92" i="7"/>
  <c r="L164" i="15"/>
  <c r="L147" i="15"/>
  <c r="G30" i="4"/>
  <c r="G33" i="4" s="1"/>
  <c r="G35" i="4" s="1"/>
  <c r="O73" i="15"/>
  <c r="N128" i="15"/>
  <c r="N86" i="15"/>
  <c r="N111" i="15" s="1"/>
  <c r="M43" i="16"/>
  <c r="N81" i="5"/>
  <c r="P18" i="30"/>
  <c r="M36" i="16"/>
  <c r="M36" i="12"/>
  <c r="M84" i="5"/>
  <c r="P4" i="30" s="1"/>
  <c r="N74" i="5"/>
  <c r="M148" i="5"/>
  <c r="N56" i="12"/>
  <c r="M128" i="12"/>
  <c r="M97" i="12"/>
  <c r="M115" i="12" s="1"/>
  <c r="M67" i="12"/>
  <c r="M84" i="12" s="1"/>
  <c r="M157" i="5"/>
  <c r="N104" i="5"/>
  <c r="M130" i="12"/>
  <c r="M99" i="12"/>
  <c r="M117" i="12" s="1"/>
  <c r="M69" i="12"/>
  <c r="M86" i="12" s="1"/>
  <c r="N60" i="12"/>
  <c r="M189" i="8"/>
  <c r="M209" i="8"/>
  <c r="N141" i="8"/>
  <c r="K105" i="9"/>
  <c r="K90" i="9"/>
  <c r="L69" i="9"/>
  <c r="L142" i="5"/>
  <c r="L8" i="4" s="1"/>
  <c r="K155" i="15"/>
  <c r="K22" i="4" s="1"/>
  <c r="K23" i="4" s="1"/>
  <c r="M48" i="17"/>
  <c r="M80" i="17" s="1"/>
  <c r="M52" i="14"/>
  <c r="N100" i="6"/>
  <c r="M163" i="6"/>
  <c r="M178" i="6" s="1"/>
  <c r="N117" i="6"/>
  <c r="L71" i="12"/>
  <c r="L81" i="12"/>
  <c r="L88" i="12" s="1"/>
  <c r="M39" i="15"/>
  <c r="M49" i="15" s="1"/>
  <c r="N77" i="7"/>
  <c r="N87" i="7" s="1"/>
  <c r="N46" i="15"/>
  <c r="O84" i="7"/>
  <c r="M91" i="13"/>
  <c r="N70" i="13"/>
  <c r="J151" i="10"/>
  <c r="J131" i="10"/>
  <c r="K100" i="10"/>
  <c r="K101" i="10" s="1"/>
  <c r="K152" i="10" s="1"/>
  <c r="N154" i="6"/>
  <c r="O108" i="6"/>
  <c r="L146" i="15"/>
  <c r="L163" i="15"/>
  <c r="M98" i="12"/>
  <c r="M116" i="12" s="1"/>
  <c r="N59" i="12"/>
  <c r="M129" i="12"/>
  <c r="M68" i="12"/>
  <c r="M85" i="12" s="1"/>
  <c r="L67" i="13"/>
  <c r="M62" i="13"/>
  <c r="H66" i="16"/>
  <c r="H68" i="16" s="1"/>
  <c r="H27" i="4" s="1"/>
  <c r="H30" i="4" s="1"/>
  <c r="H33" i="4" s="1"/>
  <c r="H35" i="4" s="1"/>
  <c r="M127" i="7"/>
  <c r="N90" i="7"/>
  <c r="M42" i="16"/>
  <c r="M63" i="16" s="1"/>
  <c r="M42" i="12"/>
  <c r="N80" i="5"/>
  <c r="M131" i="12"/>
  <c r="M156" i="5"/>
  <c r="M152" i="6"/>
  <c r="M167" i="6" s="1"/>
  <c r="N106" i="6"/>
  <c r="M122" i="15"/>
  <c r="N67" i="15"/>
  <c r="M80" i="15"/>
  <c r="M105" i="15" s="1"/>
  <c r="M155" i="7"/>
  <c r="M138" i="7"/>
  <c r="N101" i="7"/>
  <c r="M112" i="7"/>
  <c r="M166" i="7" s="1"/>
  <c r="L102" i="15"/>
  <c r="L113" i="15" s="1"/>
  <c r="L88" i="15"/>
  <c r="P71" i="13"/>
  <c r="M210" i="8"/>
  <c r="M190" i="8"/>
  <c r="N142" i="8"/>
  <c r="M170" i="15"/>
  <c r="M153" i="15"/>
  <c r="O168" i="8"/>
  <c r="P120" i="8"/>
  <c r="P168" i="8" s="1"/>
  <c r="M81" i="13"/>
  <c r="M108" i="13"/>
  <c r="N76" i="13"/>
  <c r="N165" i="6"/>
  <c r="O119" i="6"/>
  <c r="J68" i="17"/>
  <c r="J82" i="17" s="1"/>
  <c r="J84" i="17" s="1"/>
  <c r="J28" i="4" s="1"/>
  <c r="J50" i="17"/>
  <c r="M40" i="14"/>
  <c r="M54" i="14" s="1"/>
  <c r="N88" i="6"/>
  <c r="N185" i="6" s="1"/>
  <c r="M102" i="6"/>
  <c r="M199" i="6" s="1"/>
  <c r="M129" i="15"/>
  <c r="N74" i="15"/>
  <c r="M87" i="15"/>
  <c r="M112" i="15" s="1"/>
  <c r="M45" i="18"/>
  <c r="M70" i="18" s="1"/>
  <c r="N85" i="13"/>
  <c r="M92" i="13"/>
  <c r="M99" i="13" s="1"/>
  <c r="K122" i="11"/>
  <c r="K105" i="11"/>
  <c r="L80" i="11"/>
  <c r="P121" i="6"/>
  <c r="O10" i="30"/>
  <c r="L213" i="8"/>
  <c r="M161" i="6"/>
  <c r="N115" i="6"/>
  <c r="M45" i="15"/>
  <c r="N83" i="7"/>
  <c r="N39" i="16"/>
  <c r="N60" i="16" s="1"/>
  <c r="N39" i="12"/>
  <c r="O77" i="5"/>
  <c r="L132" i="12"/>
  <c r="L148" i="10"/>
  <c r="M97" i="10"/>
  <c r="L128" i="10"/>
  <c r="M155" i="5"/>
  <c r="M137" i="5"/>
  <c r="N102" i="5"/>
  <c r="M153" i="5"/>
  <c r="K94" i="9"/>
  <c r="L73" i="9"/>
  <c r="N55" i="9"/>
  <c r="M64" i="9"/>
  <c r="N150" i="15"/>
  <c r="N167" i="15"/>
  <c r="N192" i="6"/>
  <c r="N172" i="6"/>
  <c r="O126" i="6"/>
  <c r="N93" i="7"/>
  <c r="M130" i="7"/>
  <c r="N173" i="8"/>
  <c r="O125" i="8"/>
  <c r="M165" i="8"/>
  <c r="M181" i="8" s="1"/>
  <c r="N117" i="8"/>
  <c r="K149" i="10"/>
  <c r="K129" i="10"/>
  <c r="L98" i="10"/>
  <c r="O115" i="8"/>
  <c r="N163" i="8"/>
  <c r="P91" i="7"/>
  <c r="N29" i="30"/>
  <c r="J55" i="16"/>
  <c r="I65" i="16"/>
  <c r="P105" i="5"/>
  <c r="P140" i="5" s="1"/>
  <c r="M44" i="16"/>
  <c r="N82" i="5"/>
  <c r="M195" i="14"/>
  <c r="M143" i="14"/>
  <c r="M175" i="14" s="1"/>
  <c r="N75" i="14"/>
  <c r="M91" i="14"/>
  <c r="M123" i="14" s="1"/>
  <c r="J54" i="16"/>
  <c r="I64" i="16"/>
  <c r="I66" i="16" s="1"/>
  <c r="I68" i="16" s="1"/>
  <c r="I27" i="4" s="1"/>
  <c r="L102" i="14"/>
  <c r="L120" i="14"/>
  <c r="L134" i="14" s="1"/>
  <c r="N93" i="13"/>
  <c r="O72" i="13"/>
  <c r="M131" i="7"/>
  <c r="N94" i="7"/>
  <c r="J143" i="10"/>
  <c r="J123" i="10"/>
  <c r="K92" i="10"/>
  <c r="M40" i="18"/>
  <c r="M65" i="18" s="1"/>
  <c r="M112" i="13"/>
  <c r="N80" i="13"/>
  <c r="M101" i="13"/>
  <c r="M37" i="18"/>
  <c r="M62" i="18" s="1"/>
  <c r="M109" i="13"/>
  <c r="N77" i="13"/>
  <c r="M98" i="13"/>
  <c r="N39" i="18"/>
  <c r="N64" i="18" s="1"/>
  <c r="O79" i="13"/>
  <c r="N100" i="13"/>
  <c r="N111" i="13"/>
  <c r="N124" i="15"/>
  <c r="O69" i="15"/>
  <c r="N82" i="15"/>
  <c r="N107" i="15" s="1"/>
  <c r="M75" i="15"/>
  <c r="M119" i="15"/>
  <c r="N64" i="15"/>
  <c r="M77" i="15"/>
  <c r="K121" i="11"/>
  <c r="K104" i="11"/>
  <c r="L79" i="11"/>
  <c r="L127" i="11"/>
  <c r="L110" i="11"/>
  <c r="M85" i="11"/>
  <c r="L43" i="12"/>
  <c r="M128" i="5"/>
  <c r="M139" i="5" s="1"/>
  <c r="N93" i="5"/>
  <c r="P156" i="8"/>
  <c r="P172" i="8" s="1"/>
  <c r="O172" i="8"/>
  <c r="M208" i="8"/>
  <c r="M188" i="8"/>
  <c r="N140" i="8"/>
  <c r="L41" i="18"/>
  <c r="L66" i="18" s="1"/>
  <c r="L113" i="13"/>
  <c r="K85" i="10"/>
  <c r="L71" i="10"/>
  <c r="K36" i="17"/>
  <c r="L54" i="14"/>
  <c r="N173" i="6"/>
  <c r="O127" i="6"/>
  <c r="N193" i="6"/>
  <c r="L154" i="15"/>
  <c r="L171" i="15"/>
  <c r="P24" i="30"/>
  <c r="M179" i="8"/>
  <c r="N131" i="8"/>
  <c r="M145" i="8"/>
  <c r="P129" i="6"/>
  <c r="M204" i="8"/>
  <c r="M184" i="8"/>
  <c r="N136" i="8"/>
  <c r="O40" i="16"/>
  <c r="O61" i="16" s="1"/>
  <c r="O40" i="12"/>
  <c r="P78" i="5"/>
  <c r="M40" i="15"/>
  <c r="N78" i="7"/>
  <c r="K138" i="10"/>
  <c r="K118" i="10"/>
  <c r="L87" i="10"/>
  <c r="N156" i="6"/>
  <c r="N171" i="6" s="1"/>
  <c r="O110" i="6"/>
  <c r="L112" i="12"/>
  <c r="L119" i="12" s="1"/>
  <c r="L101" i="12"/>
  <c r="O136" i="7"/>
  <c r="P99" i="7"/>
  <c r="P136" i="7" s="1"/>
  <c r="M148" i="7"/>
  <c r="N111" i="7"/>
  <c r="M165" i="7"/>
  <c r="M164" i="7"/>
  <c r="M147" i="7"/>
  <c r="N110" i="7"/>
  <c r="K103" i="9"/>
  <c r="K88" i="9"/>
  <c r="L67" i="9"/>
  <c r="M161" i="7"/>
  <c r="N107" i="7"/>
  <c r="J106" i="11"/>
  <c r="J123" i="11"/>
  <c r="K81" i="11"/>
  <c r="M45" i="17"/>
  <c r="M77" i="17" s="1"/>
  <c r="M49" i="14"/>
  <c r="N97" i="6"/>
  <c r="M196" i="14"/>
  <c r="N76" i="14"/>
  <c r="M144" i="14"/>
  <c r="M176" i="14" s="1"/>
  <c r="M92" i="14"/>
  <c r="M124" i="14" s="1"/>
  <c r="O157" i="6"/>
  <c r="P111" i="6"/>
  <c r="P157" i="6" s="1"/>
  <c r="M86" i="14"/>
  <c r="M206" i="14" s="1"/>
  <c r="M192" i="14"/>
  <c r="M140" i="14"/>
  <c r="M172" i="14" s="1"/>
  <c r="N72" i="14"/>
  <c r="M88" i="14"/>
  <c r="M123" i="15"/>
  <c r="N68" i="15"/>
  <c r="M81" i="15"/>
  <c r="M106" i="15" s="1"/>
  <c r="K141" i="10"/>
  <c r="K121" i="10"/>
  <c r="L90" i="10"/>
  <c r="N37" i="16"/>
  <c r="N58" i="16" s="1"/>
  <c r="N37" i="12"/>
  <c r="O75" i="5"/>
  <c r="M200" i="8"/>
  <c r="M180" i="8"/>
  <c r="N132" i="8"/>
  <c r="N116" i="7"/>
  <c r="M128" i="7"/>
  <c r="M149" i="15"/>
  <c r="M166" i="15"/>
  <c r="L144" i="15"/>
  <c r="L161" i="15"/>
  <c r="L130" i="15"/>
  <c r="L172" i="15" s="1"/>
  <c r="O91" i="5"/>
  <c r="N126" i="5"/>
  <c r="L57" i="16"/>
  <c r="L45" i="16"/>
  <c r="N127" i="5"/>
  <c r="N138" i="5" s="1"/>
  <c r="O92" i="5"/>
  <c r="L95" i="13"/>
  <c r="K150" i="10"/>
  <c r="L99" i="10"/>
  <c r="K130" i="10"/>
  <c r="M134" i="7"/>
  <c r="M146" i="7" s="1"/>
  <c r="N97" i="7"/>
  <c r="M43" i="15"/>
  <c r="N81" i="7"/>
  <c r="K125" i="10"/>
  <c r="L94" i="10"/>
  <c r="K145" i="10"/>
  <c r="M132" i="7"/>
  <c r="M144" i="7" s="1"/>
  <c r="N95" i="7"/>
  <c r="M202" i="8"/>
  <c r="M182" i="8"/>
  <c r="N134" i="8"/>
  <c r="M143" i="7"/>
  <c r="N106" i="7"/>
  <c r="M160" i="7"/>
  <c r="M170" i="8"/>
  <c r="M186" i="8" s="1"/>
  <c r="N122" i="8"/>
  <c r="O123" i="8"/>
  <c r="N171" i="8"/>
  <c r="N187" i="8" s="1"/>
  <c r="L193" i="8"/>
  <c r="M175" i="8"/>
  <c r="M191" i="8" s="1"/>
  <c r="N127" i="8"/>
  <c r="J132" i="10"/>
  <c r="J15" i="4" s="1"/>
  <c r="M44" i="18"/>
  <c r="M69" i="18" s="1"/>
  <c r="N84" i="13"/>
  <c r="M125" i="12"/>
  <c r="N53" i="12"/>
  <c r="M94" i="12"/>
  <c r="M62" i="12"/>
  <c r="M132" i="12" s="1"/>
  <c r="M64" i="12"/>
  <c r="N162" i="6"/>
  <c r="O116" i="6"/>
  <c r="M194" i="14"/>
  <c r="M142" i="14"/>
  <c r="M174" i="14" s="1"/>
  <c r="N74" i="14"/>
  <c r="M90" i="14"/>
  <c r="M122" i="14" s="1"/>
  <c r="N176" i="8"/>
  <c r="O128" i="8"/>
  <c r="O153" i="6"/>
  <c r="P107" i="6"/>
  <c r="P153" i="6" s="1"/>
  <c r="M38" i="18"/>
  <c r="M63" i="18" s="1"/>
  <c r="M110" i="13"/>
  <c r="N78" i="13"/>
  <c r="I29" i="4"/>
  <c r="M205" i="8"/>
  <c r="M185" i="8"/>
  <c r="N137" i="8"/>
  <c r="J110" i="9"/>
  <c r="J93" i="9"/>
  <c r="K72" i="9"/>
  <c r="M127" i="15"/>
  <c r="N72" i="15"/>
  <c r="M85" i="15"/>
  <c r="M110" i="15" s="1"/>
  <c r="N203" i="8"/>
  <c r="O135" i="8"/>
  <c r="O90" i="5"/>
  <c r="N125" i="5"/>
  <c r="N136" i="5" s="1"/>
  <c r="O130" i="5"/>
  <c r="P95" i="5"/>
  <c r="P130" i="5" s="1"/>
  <c r="J102" i="9"/>
  <c r="J87" i="9"/>
  <c r="J75" i="9"/>
  <c r="J111" i="9" s="1"/>
  <c r="K66" i="9"/>
  <c r="M156" i="7"/>
  <c r="N102" i="7"/>
  <c r="M139" i="7"/>
  <c r="K124" i="11"/>
  <c r="K107" i="11"/>
  <c r="L82" i="11"/>
  <c r="L165" i="15"/>
  <c r="L148" i="15"/>
  <c r="M158" i="7"/>
  <c r="M141" i="7"/>
  <c r="N104" i="7"/>
  <c r="M197" i="6"/>
  <c r="M177" i="6"/>
  <c r="N131" i="6"/>
  <c r="K146" i="10"/>
  <c r="K126" i="10"/>
  <c r="L95" i="10"/>
  <c r="N79" i="14"/>
  <c r="M199" i="14"/>
  <c r="M147" i="14"/>
  <c r="M95" i="14"/>
  <c r="M127" i="14" s="1"/>
  <c r="M43" i="18"/>
  <c r="M68" i="18" s="1"/>
  <c r="N83" i="13"/>
  <c r="M90" i="13"/>
  <c r="J108" i="11"/>
  <c r="K83" i="11"/>
  <c r="J125" i="11"/>
  <c r="M155" i="6"/>
  <c r="M170" i="6" s="1"/>
  <c r="N109" i="6"/>
  <c r="O122" i="5"/>
  <c r="P87" i="5"/>
  <c r="P122" i="5" s="1"/>
  <c r="N43" i="17"/>
  <c r="N75" i="17" s="1"/>
  <c r="N47" i="14"/>
  <c r="O95" i="6"/>
  <c r="O27" i="30"/>
  <c r="O25" i="30"/>
  <c r="M167" i="8"/>
  <c r="M183" i="8" s="1"/>
  <c r="N119" i="8"/>
  <c r="N127" i="12"/>
  <c r="N96" i="12"/>
  <c r="N114" i="12" s="1"/>
  <c r="N66" i="12"/>
  <c r="N83" i="12" s="1"/>
  <c r="O55" i="12"/>
  <c r="M189" i="6"/>
  <c r="M169" i="6"/>
  <c r="N123" i="6"/>
  <c r="M205" i="14"/>
  <c r="M153" i="14"/>
  <c r="M185" i="14" s="1"/>
  <c r="N85" i="14"/>
  <c r="M101" i="14"/>
  <c r="M133" i="14" s="1"/>
  <c r="N194" i="6"/>
  <c r="O128" i="6"/>
  <c r="J47" i="18"/>
  <c r="J61" i="18"/>
  <c r="J72" i="18" s="1"/>
  <c r="J74" i="18" s="1"/>
  <c r="J29" i="4" s="1"/>
  <c r="J126" i="11"/>
  <c r="J109" i="11"/>
  <c r="K84" i="11"/>
  <c r="K8" i="4"/>
  <c r="N49" i="17"/>
  <c r="N81" i="17" s="1"/>
  <c r="N53" i="14"/>
  <c r="O101" i="6"/>
  <c r="M192" i="8"/>
  <c r="M212" i="8"/>
  <c r="N144" i="8"/>
  <c r="N211" i="8"/>
  <c r="O143" i="8"/>
  <c r="M126" i="12"/>
  <c r="M95" i="12"/>
  <c r="M113" i="12" s="1"/>
  <c r="N54" i="12"/>
  <c r="M65" i="12"/>
  <c r="M82" i="12" s="1"/>
  <c r="L152" i="15"/>
  <c r="L169" i="15"/>
  <c r="M202" i="14"/>
  <c r="M150" i="14"/>
  <c r="M182" i="14" s="1"/>
  <c r="N82" i="14"/>
  <c r="M98" i="14"/>
  <c r="M130" i="14" s="1"/>
  <c r="O65" i="15"/>
  <c r="N120" i="15"/>
  <c r="N78" i="15"/>
  <c r="N103" i="15" s="1"/>
  <c r="L74" i="9"/>
  <c r="K95" i="9"/>
  <c r="L100" i="11"/>
  <c r="M75" i="11"/>
  <c r="N198" i="14"/>
  <c r="N146" i="14"/>
  <c r="N178" i="14" s="1"/>
  <c r="O78" i="14"/>
  <c r="N94" i="14"/>
  <c r="N126" i="14" s="1"/>
  <c r="M196" i="6"/>
  <c r="M176" i="6"/>
  <c r="N130" i="6"/>
  <c r="M140" i="7"/>
  <c r="N103" i="7"/>
  <c r="M157" i="7"/>
  <c r="K142" i="10"/>
  <c r="L91" i="10"/>
  <c r="K122" i="10"/>
  <c r="N123" i="5"/>
  <c r="O88" i="5"/>
  <c r="K53" i="20"/>
  <c r="L46" i="20"/>
  <c r="K54" i="20"/>
  <c r="K34" i="4" s="1"/>
  <c r="M40" i="17"/>
  <c r="M72" i="17" s="1"/>
  <c r="M44" i="14"/>
  <c r="N92" i="6"/>
  <c r="M44" i="17"/>
  <c r="M76" i="17" s="1"/>
  <c r="M48" i="14"/>
  <c r="N96" i="6"/>
  <c r="L154" i="14"/>
  <c r="L179" i="14"/>
  <c r="L186" i="14" s="1"/>
  <c r="M186" i="6"/>
  <c r="M166" i="6"/>
  <c r="M179" i="6" s="1"/>
  <c r="M9" i="4" s="1"/>
  <c r="N120" i="6"/>
  <c r="O19" i="30"/>
  <c r="O28" i="30" s="1"/>
  <c r="L113" i="8"/>
  <c r="O5" i="30" s="1"/>
  <c r="O6" i="30" s="1"/>
  <c r="M99" i="8"/>
  <c r="J11" i="4"/>
  <c r="N42" i="15"/>
  <c r="O80" i="7"/>
  <c r="O9" i="30"/>
  <c r="L158" i="5"/>
  <c r="M48" i="15"/>
  <c r="N86" i="7"/>
  <c r="N41" i="15"/>
  <c r="O79" i="7"/>
  <c r="M124" i="5"/>
  <c r="N89" i="5"/>
  <c r="M151" i="5"/>
  <c r="N100" i="5"/>
  <c r="M135" i="5"/>
  <c r="L62" i="11"/>
  <c r="K73" i="11"/>
  <c r="K36" i="18"/>
  <c r="N192" i="8" l="1"/>
  <c r="N212" i="8"/>
  <c r="O144" i="8"/>
  <c r="N175" i="8"/>
  <c r="N191" i="8" s="1"/>
  <c r="O127" i="8"/>
  <c r="N143" i="14"/>
  <c r="N175" i="14" s="1"/>
  <c r="N195" i="14"/>
  <c r="O75" i="14"/>
  <c r="N91" i="14"/>
  <c r="N123" i="14" s="1"/>
  <c r="O154" i="5"/>
  <c r="O152" i="5"/>
  <c r="P101" i="5"/>
  <c r="L54" i="20"/>
  <c r="L34" i="4" s="1"/>
  <c r="L53" i="20"/>
  <c r="M46" i="20"/>
  <c r="O103" i="7"/>
  <c r="N157" i="7"/>
  <c r="N162" i="15"/>
  <c r="N145" i="15"/>
  <c r="N205" i="14"/>
  <c r="N153" i="14"/>
  <c r="N185" i="14" s="1"/>
  <c r="O85" i="14"/>
  <c r="N101" i="14"/>
  <c r="N133" i="14" s="1"/>
  <c r="M95" i="13"/>
  <c r="L126" i="10"/>
  <c r="M95" i="10"/>
  <c r="L146" i="10"/>
  <c r="N156" i="7"/>
  <c r="O102" i="7"/>
  <c r="K110" i="9"/>
  <c r="K93" i="9"/>
  <c r="L72" i="9"/>
  <c r="N123" i="15"/>
  <c r="O68" i="15"/>
  <c r="N81" i="15"/>
  <c r="N106" i="15" s="1"/>
  <c r="L103" i="9"/>
  <c r="L88" i="9"/>
  <c r="M67" i="9"/>
  <c r="P10" i="30"/>
  <c r="P14" i="30" s="1"/>
  <c r="M213" i="8"/>
  <c r="P127" i="6"/>
  <c r="O173" i="6"/>
  <c r="N119" i="15"/>
  <c r="O64" i="15"/>
  <c r="N75" i="15"/>
  <c r="N77" i="15"/>
  <c r="O39" i="18"/>
  <c r="O64" i="18" s="1"/>
  <c r="P79" i="13"/>
  <c r="O111" i="13"/>
  <c r="N165" i="8"/>
  <c r="O117" i="8"/>
  <c r="N155" i="5"/>
  <c r="N137" i="5"/>
  <c r="N153" i="5"/>
  <c r="O102" i="5"/>
  <c r="O14" i="30"/>
  <c r="N45" i="18"/>
  <c r="N70" i="18" s="1"/>
  <c r="O85" i="13"/>
  <c r="N92" i="13"/>
  <c r="N122" i="15"/>
  <c r="O67" i="15"/>
  <c r="N80" i="15"/>
  <c r="N105" i="15" s="1"/>
  <c r="L20" i="4"/>
  <c r="N43" i="16"/>
  <c r="O81" i="5"/>
  <c r="N190" i="6"/>
  <c r="O124" i="6"/>
  <c r="O46" i="18"/>
  <c r="O71" i="18" s="1"/>
  <c r="P86" i="13"/>
  <c r="P46" i="18" s="1"/>
  <c r="P71" i="18" s="1"/>
  <c r="O47" i="17"/>
  <c r="O79" i="17" s="1"/>
  <c r="O51" i="14"/>
  <c r="P99" i="6"/>
  <c r="P9" i="30"/>
  <c r="M158" i="5"/>
  <c r="P126" i="8"/>
  <c r="P174" i="8" s="1"/>
  <c r="O174" i="8"/>
  <c r="P132" i="5"/>
  <c r="M168" i="15"/>
  <c r="M151" i="15"/>
  <c r="P41" i="16"/>
  <c r="P62" i="16" s="1"/>
  <c r="P41" i="12"/>
  <c r="K47" i="18"/>
  <c r="K61" i="18"/>
  <c r="K72" i="18" s="1"/>
  <c r="K74" i="18" s="1"/>
  <c r="K109" i="11"/>
  <c r="K126" i="11"/>
  <c r="L84" i="11"/>
  <c r="M152" i="15"/>
  <c r="M169" i="15"/>
  <c r="N148" i="7"/>
  <c r="O111" i="7"/>
  <c r="N165" i="7"/>
  <c r="M102" i="15"/>
  <c r="M113" i="15" s="1"/>
  <c r="M88" i="15"/>
  <c r="K55" i="16"/>
  <c r="J65" i="16"/>
  <c r="L120" i="10"/>
  <c r="M89" i="10"/>
  <c r="L140" i="10"/>
  <c r="M62" i="11"/>
  <c r="M117" i="11" s="1"/>
  <c r="L73" i="11"/>
  <c r="L36" i="18"/>
  <c r="N48" i="15"/>
  <c r="O86" i="7"/>
  <c r="P19" i="30"/>
  <c r="N99" i="8"/>
  <c r="M113" i="8"/>
  <c r="P5" i="30" s="1"/>
  <c r="N44" i="17"/>
  <c r="N76" i="17" s="1"/>
  <c r="N48" i="14"/>
  <c r="O96" i="6"/>
  <c r="M100" i="11"/>
  <c r="N75" i="11"/>
  <c r="O120" i="15"/>
  <c r="P65" i="15"/>
  <c r="O78" i="15"/>
  <c r="O103" i="15" s="1"/>
  <c r="O54" i="12"/>
  <c r="N126" i="12"/>
  <c r="N95" i="12"/>
  <c r="N113" i="12" s="1"/>
  <c r="N65" i="12"/>
  <c r="N82" i="12" s="1"/>
  <c r="N43" i="18"/>
  <c r="N68" i="18" s="1"/>
  <c r="O83" i="13"/>
  <c r="N90" i="13"/>
  <c r="O125" i="5"/>
  <c r="O136" i="5" s="1"/>
  <c r="P90" i="5"/>
  <c r="P125" i="5" s="1"/>
  <c r="N38" i="18"/>
  <c r="N63" i="18" s="1"/>
  <c r="N99" i="13"/>
  <c r="N110" i="13"/>
  <c r="O78" i="13"/>
  <c r="M112" i="12"/>
  <c r="M119" i="12" s="1"/>
  <c r="M101" i="12"/>
  <c r="N182" i="8"/>
  <c r="O134" i="8"/>
  <c r="N202" i="8"/>
  <c r="N43" i="15"/>
  <c r="O81" i="7"/>
  <c r="O127" i="5"/>
  <c r="O138" i="5" s="1"/>
  <c r="P92" i="5"/>
  <c r="P127" i="5" s="1"/>
  <c r="L155" i="15"/>
  <c r="O37" i="16"/>
  <c r="O58" i="16" s="1"/>
  <c r="O37" i="12"/>
  <c r="P75" i="5"/>
  <c r="M165" i="15"/>
  <c r="M148" i="15"/>
  <c r="Q24" i="30"/>
  <c r="N179" i="8"/>
  <c r="O131" i="8"/>
  <c r="N145" i="8"/>
  <c r="N208" i="8"/>
  <c r="N188" i="8"/>
  <c r="O140" i="8"/>
  <c r="M127" i="11"/>
  <c r="M110" i="11"/>
  <c r="N85" i="11"/>
  <c r="M144" i="15"/>
  <c r="M161" i="15"/>
  <c r="M130" i="15"/>
  <c r="M172" i="15" s="1"/>
  <c r="L21" i="4"/>
  <c r="M97" i="13"/>
  <c r="M102" i="13" s="1"/>
  <c r="M147" i="15"/>
  <c r="M164" i="15"/>
  <c r="N129" i="12"/>
  <c r="N98" i="12"/>
  <c r="N116" i="12" s="1"/>
  <c r="O59" i="12"/>
  <c r="N68" i="12"/>
  <c r="N85" i="12" s="1"/>
  <c r="L105" i="9"/>
  <c r="M69" i="9"/>
  <c r="L90" i="9"/>
  <c r="N128" i="12"/>
  <c r="O56" i="12"/>
  <c r="N97" i="12"/>
  <c r="N115" i="12" s="1"/>
  <c r="N67" i="12"/>
  <c r="N84" i="12" s="1"/>
  <c r="N129" i="7"/>
  <c r="N141" i="7" s="1"/>
  <c r="O92" i="7"/>
  <c r="M139" i="10"/>
  <c r="M119" i="10"/>
  <c r="N88" i="10"/>
  <c r="N159" i="7"/>
  <c r="O105" i="7"/>
  <c r="N198" i="6"/>
  <c r="O132" i="6"/>
  <c r="N203" i="14"/>
  <c r="N151" i="14"/>
  <c r="N183" i="14" s="1"/>
  <c r="O83" i="14"/>
  <c r="N99" i="14"/>
  <c r="N131" i="14" s="1"/>
  <c r="P27" i="30"/>
  <c r="P25" i="30"/>
  <c r="L108" i="9"/>
  <c r="L106" i="9"/>
  <c r="L91" i="9"/>
  <c r="M70" i="9"/>
  <c r="P109" i="7"/>
  <c r="O163" i="7"/>
  <c r="O41" i="17"/>
  <c r="O73" i="17" s="1"/>
  <c r="O45" i="14"/>
  <c r="P93" i="6"/>
  <c r="N150" i="5"/>
  <c r="O99" i="5"/>
  <c r="N134" i="5"/>
  <c r="L145" i="10"/>
  <c r="M94" i="10"/>
  <c r="L125" i="10"/>
  <c r="O93" i="13"/>
  <c r="O100" i="13" s="1"/>
  <c r="P72" i="13"/>
  <c r="P93" i="13" s="1"/>
  <c r="O39" i="16"/>
  <c r="O60" i="16" s="1"/>
  <c r="O39" i="12"/>
  <c r="P77" i="5"/>
  <c r="K131" i="10"/>
  <c r="L100" i="10"/>
  <c r="K151" i="10"/>
  <c r="N130" i="12"/>
  <c r="N99" i="12"/>
  <c r="N117" i="12" s="1"/>
  <c r="O60" i="12"/>
  <c r="N69" i="12"/>
  <c r="N86" i="12" s="1"/>
  <c r="O81" i="14"/>
  <c r="N201" i="14"/>
  <c r="N149" i="14"/>
  <c r="N181" i="14" s="1"/>
  <c r="N97" i="14"/>
  <c r="N129" i="14" s="1"/>
  <c r="P42" i="17"/>
  <c r="P74" i="17" s="1"/>
  <c r="P46" i="14"/>
  <c r="O207" i="8"/>
  <c r="P139" i="8"/>
  <c r="N126" i="7"/>
  <c r="N138" i="7" s="1"/>
  <c r="O89" i="7"/>
  <c r="N94" i="13"/>
  <c r="O73" i="13"/>
  <c r="N141" i="5"/>
  <c r="O106" i="5"/>
  <c r="O123" i="5"/>
  <c r="P88" i="5"/>
  <c r="P123" i="5" s="1"/>
  <c r="O49" i="17"/>
  <c r="O81" i="17" s="1"/>
  <c r="O53" i="14"/>
  <c r="P101" i="6"/>
  <c r="N167" i="8"/>
  <c r="N183" i="8" s="1"/>
  <c r="O119" i="8"/>
  <c r="K102" i="9"/>
  <c r="L66" i="9"/>
  <c r="K87" i="9"/>
  <c r="K96" i="9" s="1"/>
  <c r="K14" i="4" s="1"/>
  <c r="K75" i="9"/>
  <c r="K111" i="9" s="1"/>
  <c r="O203" i="8"/>
  <c r="P135" i="8"/>
  <c r="O74" i="14"/>
  <c r="N194" i="14"/>
  <c r="N90" i="14"/>
  <c r="N122" i="14" s="1"/>
  <c r="N142" i="14"/>
  <c r="N174" i="14" s="1"/>
  <c r="N125" i="12"/>
  <c r="O53" i="12"/>
  <c r="N94" i="12"/>
  <c r="N62" i="12"/>
  <c r="N64" i="12"/>
  <c r="M102" i="14"/>
  <c r="M120" i="14"/>
  <c r="M134" i="14" s="1"/>
  <c r="K106" i="11"/>
  <c r="L81" i="11"/>
  <c r="K123" i="11"/>
  <c r="L118" i="10"/>
  <c r="M87" i="10"/>
  <c r="L138" i="10"/>
  <c r="N204" i="8"/>
  <c r="O136" i="8"/>
  <c r="N184" i="8"/>
  <c r="M199" i="8"/>
  <c r="K123" i="10"/>
  <c r="L92" i="10"/>
  <c r="L101" i="10" s="1"/>
  <c r="L152" i="10" s="1"/>
  <c r="K143" i="10"/>
  <c r="N44" i="16"/>
  <c r="O82" i="5"/>
  <c r="O173" i="8"/>
  <c r="P125" i="8"/>
  <c r="P173" i="8" s="1"/>
  <c r="M41" i="18"/>
  <c r="M66" i="18" s="1"/>
  <c r="L22" i="4"/>
  <c r="N152" i="6"/>
  <c r="N167" i="6" s="1"/>
  <c r="O106" i="6"/>
  <c r="N127" i="7"/>
  <c r="N139" i="7" s="1"/>
  <c r="O90" i="7"/>
  <c r="N91" i="13"/>
  <c r="O70" i="13"/>
  <c r="N163" i="6"/>
  <c r="N178" i="6" s="1"/>
  <c r="O117" i="6"/>
  <c r="L147" i="10"/>
  <c r="L127" i="10"/>
  <c r="M96" i="10"/>
  <c r="N151" i="6"/>
  <c r="O105" i="6"/>
  <c r="N38" i="17"/>
  <c r="N70" i="17" s="1"/>
  <c r="N42" i="14"/>
  <c r="O90" i="6"/>
  <c r="N187" i="6"/>
  <c r="M104" i="9"/>
  <c r="N68" i="9"/>
  <c r="M89" i="9"/>
  <c r="P125" i="15"/>
  <c r="P83" i="15"/>
  <c r="P108" i="15" s="1"/>
  <c r="N133" i="5"/>
  <c r="N149" i="5"/>
  <c r="O98" i="5"/>
  <c r="N107" i="5"/>
  <c r="Q23" i="30"/>
  <c r="K101" i="11"/>
  <c r="K118" i="11"/>
  <c r="L76" i="11"/>
  <c r="K86" i="11"/>
  <c r="K128" i="11" s="1"/>
  <c r="O79" i="14"/>
  <c r="N199" i="14"/>
  <c r="N147" i="14"/>
  <c r="N95" i="14"/>
  <c r="N127" i="14" s="1"/>
  <c r="O176" i="8"/>
  <c r="P128" i="8"/>
  <c r="P176" i="8" s="1"/>
  <c r="P20" i="30"/>
  <c r="O38" i="15"/>
  <c r="P76" i="7"/>
  <c r="N152" i="14"/>
  <c r="N184" i="14" s="1"/>
  <c r="N204" i="14"/>
  <c r="O84" i="14"/>
  <c r="N100" i="14"/>
  <c r="N132" i="14" s="1"/>
  <c r="O82" i="14"/>
  <c r="N202" i="14"/>
  <c r="N150" i="14"/>
  <c r="N182" i="14" s="1"/>
  <c r="N98" i="14"/>
  <c r="N130" i="14" s="1"/>
  <c r="N189" i="6"/>
  <c r="N169" i="6"/>
  <c r="O123" i="6"/>
  <c r="N155" i="6"/>
  <c r="N170" i="6" s="1"/>
  <c r="O109" i="6"/>
  <c r="O20" i="30"/>
  <c r="N197" i="6"/>
  <c r="N177" i="6"/>
  <c r="O131" i="6"/>
  <c r="L124" i="11"/>
  <c r="L107" i="11"/>
  <c r="M82" i="11"/>
  <c r="N205" i="8"/>
  <c r="N185" i="8"/>
  <c r="O137" i="8"/>
  <c r="O171" i="8"/>
  <c r="O187" i="8" s="1"/>
  <c r="P123" i="8"/>
  <c r="P171" i="8" s="1"/>
  <c r="N134" i="7"/>
  <c r="N146" i="7" s="1"/>
  <c r="O97" i="7"/>
  <c r="N192" i="14"/>
  <c r="N86" i="14"/>
  <c r="N140" i="14"/>
  <c r="N172" i="14" s="1"/>
  <c r="O72" i="14"/>
  <c r="N88" i="14"/>
  <c r="N196" i="14"/>
  <c r="O76" i="14"/>
  <c r="N144" i="14"/>
  <c r="N176" i="14" s="1"/>
  <c r="N92" i="14"/>
  <c r="N124" i="14" s="1"/>
  <c r="N164" i="7"/>
  <c r="O110" i="7"/>
  <c r="M193" i="8"/>
  <c r="K68" i="17"/>
  <c r="K82" i="17" s="1"/>
  <c r="K84" i="17" s="1"/>
  <c r="K28" i="4" s="1"/>
  <c r="K50" i="17"/>
  <c r="N37" i="18"/>
  <c r="N62" i="18" s="1"/>
  <c r="O77" i="13"/>
  <c r="N98" i="13"/>
  <c r="N109" i="13"/>
  <c r="I30" i="4"/>
  <c r="I33" i="4" s="1"/>
  <c r="I35" i="4" s="1"/>
  <c r="N45" i="15"/>
  <c r="O83" i="7"/>
  <c r="N129" i="15"/>
  <c r="O74" i="15"/>
  <c r="N87" i="15"/>
  <c r="N112" i="15" s="1"/>
  <c r="Q18" i="30"/>
  <c r="N36" i="16"/>
  <c r="N36" i="12"/>
  <c r="N43" i="12" s="1"/>
  <c r="O74" i="5"/>
  <c r="N84" i="5"/>
  <c r="Q4" i="30" s="1"/>
  <c r="N148" i="5"/>
  <c r="N170" i="15"/>
  <c r="N153" i="15"/>
  <c r="N164" i="8"/>
  <c r="O116" i="8"/>
  <c r="O150" i="15"/>
  <c r="O167" i="15"/>
  <c r="N47" i="15"/>
  <c r="O85" i="7"/>
  <c r="N135" i="7"/>
  <c r="N147" i="7" s="1"/>
  <c r="O98" i="7"/>
  <c r="N168" i="6"/>
  <c r="O122" i="6"/>
  <c r="N188" i="6"/>
  <c r="J111" i="11"/>
  <c r="J16" i="4" s="1"/>
  <c r="I17" i="4"/>
  <c r="N46" i="17"/>
  <c r="N78" i="17" s="1"/>
  <c r="N50" i="14"/>
  <c r="O98" i="6"/>
  <c r="N195" i="6"/>
  <c r="M81" i="12"/>
  <c r="M88" i="12" s="1"/>
  <c r="M20" i="4" s="1"/>
  <c r="M71" i="12"/>
  <c r="P40" i="16"/>
  <c r="P61" i="16" s="1"/>
  <c r="P40" i="12"/>
  <c r="N81" i="13"/>
  <c r="O76" i="13"/>
  <c r="N97" i="13"/>
  <c r="K107" i="9"/>
  <c r="K109" i="9"/>
  <c r="L71" i="9"/>
  <c r="K92" i="9"/>
  <c r="N186" i="6"/>
  <c r="N166" i="6"/>
  <c r="O120" i="6"/>
  <c r="N40" i="17"/>
  <c r="N72" i="17" s="1"/>
  <c r="N44" i="14"/>
  <c r="O92" i="6"/>
  <c r="L117" i="11"/>
  <c r="O211" i="8"/>
  <c r="P143" i="8"/>
  <c r="O194" i="6"/>
  <c r="P128" i="6"/>
  <c r="O29" i="30"/>
  <c r="J96" i="9"/>
  <c r="J14" i="4" s="1"/>
  <c r="N44" i="18"/>
  <c r="N69" i="18" s="1"/>
  <c r="O84" i="13"/>
  <c r="N170" i="8"/>
  <c r="N186" i="8" s="1"/>
  <c r="O122" i="8"/>
  <c r="N132" i="7"/>
  <c r="O95" i="7"/>
  <c r="L141" i="10"/>
  <c r="L121" i="10"/>
  <c r="M90" i="10"/>
  <c r="M186" i="14"/>
  <c r="P28" i="30"/>
  <c r="L85" i="10"/>
  <c r="M71" i="10"/>
  <c r="L36" i="17"/>
  <c r="L104" i="11"/>
  <c r="L121" i="11"/>
  <c r="M79" i="11"/>
  <c r="O124" i="15"/>
  <c r="P69" i="15"/>
  <c r="O82" i="15"/>
  <c r="O107" i="15" s="1"/>
  <c r="K54" i="16"/>
  <c r="J64" i="16"/>
  <c r="J66" i="16" s="1"/>
  <c r="J68" i="16" s="1"/>
  <c r="J27" i="4" s="1"/>
  <c r="J30" i="4" s="1"/>
  <c r="J33" i="4" s="1"/>
  <c r="J35" i="4" s="1"/>
  <c r="O163" i="8"/>
  <c r="P115" i="8"/>
  <c r="P163" i="8" s="1"/>
  <c r="O55" i="9"/>
  <c r="N64" i="9"/>
  <c r="M148" i="10"/>
  <c r="M128" i="10"/>
  <c r="N97" i="10"/>
  <c r="L122" i="11"/>
  <c r="L105" i="11"/>
  <c r="M80" i="11"/>
  <c r="M154" i="15"/>
  <c r="M171" i="15"/>
  <c r="N133" i="6"/>
  <c r="N199" i="6" s="1"/>
  <c r="N210" i="8"/>
  <c r="O142" i="8"/>
  <c r="N190" i="8"/>
  <c r="O101" i="7"/>
  <c r="N112" i="7"/>
  <c r="N166" i="7" s="1"/>
  <c r="N155" i="7"/>
  <c r="O46" i="15"/>
  <c r="P84" i="7"/>
  <c r="P46" i="15" s="1"/>
  <c r="N48" i="17"/>
  <c r="N80" i="17" s="1"/>
  <c r="N52" i="14"/>
  <c r="O100" i="6"/>
  <c r="N209" i="8"/>
  <c r="O141" i="8"/>
  <c r="N189" i="8"/>
  <c r="N157" i="5"/>
  <c r="O104" i="5"/>
  <c r="P6" i="30"/>
  <c r="O128" i="15"/>
  <c r="P73" i="15"/>
  <c r="O86" i="15"/>
  <c r="O111" i="15" s="1"/>
  <c r="N197" i="14"/>
  <c r="N145" i="14"/>
  <c r="N177" i="14" s="1"/>
  <c r="O77" i="14"/>
  <c r="N93" i="14"/>
  <c r="N125" i="14" s="1"/>
  <c r="O108" i="7"/>
  <c r="N162" i="7"/>
  <c r="N145" i="7"/>
  <c r="O39" i="17"/>
  <c r="O71" i="17" s="1"/>
  <c r="O43" i="14"/>
  <c r="P91" i="6"/>
  <c r="N37" i="17"/>
  <c r="N69" i="17" s="1"/>
  <c r="N41" i="14"/>
  <c r="O89" i="6"/>
  <c r="M142" i="5"/>
  <c r="M8" i="4" s="1"/>
  <c r="M42" i="18"/>
  <c r="M67" i="18" s="1"/>
  <c r="N68" i="11"/>
  <c r="N201" i="8"/>
  <c r="O133" i="8"/>
  <c r="N181" i="8"/>
  <c r="L10" i="4"/>
  <c r="L11" i="4" s="1"/>
  <c r="N151" i="5"/>
  <c r="O100" i="5"/>
  <c r="N135" i="5"/>
  <c r="O11" i="30"/>
  <c r="O15" i="30" s="1"/>
  <c r="O13" i="30"/>
  <c r="L142" i="10"/>
  <c r="L122" i="10"/>
  <c r="M91" i="10"/>
  <c r="M154" i="14"/>
  <c r="M179" i="14"/>
  <c r="O162" i="6"/>
  <c r="P116" i="6"/>
  <c r="P162" i="6" s="1"/>
  <c r="O116" i="7"/>
  <c r="N128" i="7"/>
  <c r="N140" i="7" s="1"/>
  <c r="N45" i="17"/>
  <c r="N77" i="17" s="1"/>
  <c r="N49" i="14"/>
  <c r="O97" i="6"/>
  <c r="N161" i="7"/>
  <c r="N144" i="7"/>
  <c r="O107" i="7"/>
  <c r="N40" i="15"/>
  <c r="O78" i="7"/>
  <c r="N149" i="15"/>
  <c r="N166" i="15"/>
  <c r="N131" i="7"/>
  <c r="N143" i="7" s="1"/>
  <c r="O94" i="7"/>
  <c r="L149" i="10"/>
  <c r="L129" i="10"/>
  <c r="M98" i="10"/>
  <c r="N130" i="7"/>
  <c r="N142" i="7" s="1"/>
  <c r="O93" i="7"/>
  <c r="L94" i="9"/>
  <c r="M73" i="9"/>
  <c r="O115" i="6"/>
  <c r="N161" i="6"/>
  <c r="P119" i="6"/>
  <c r="O165" i="6"/>
  <c r="M149" i="7"/>
  <c r="M10" i="4" s="1"/>
  <c r="M67" i="13"/>
  <c r="M113" i="13" s="1"/>
  <c r="N62" i="13"/>
  <c r="O154" i="6"/>
  <c r="P108" i="6"/>
  <c r="P154" i="6" s="1"/>
  <c r="M43" i="12"/>
  <c r="N121" i="15"/>
  <c r="O66" i="15"/>
  <c r="N79" i="15"/>
  <c r="N104" i="15" s="1"/>
  <c r="O171" i="6"/>
  <c r="P125" i="6"/>
  <c r="O191" i="6"/>
  <c r="O73" i="14"/>
  <c r="N193" i="14"/>
  <c r="N141" i="14"/>
  <c r="N173" i="14" s="1"/>
  <c r="N89" i="14"/>
  <c r="N121" i="14" s="1"/>
  <c r="P206" i="8"/>
  <c r="P138" i="5"/>
  <c r="N200" i="14"/>
  <c r="N148" i="14"/>
  <c r="N180" i="14" s="1"/>
  <c r="O80" i="14"/>
  <c r="N96" i="14"/>
  <c r="N128" i="14" s="1"/>
  <c r="M119" i="11"/>
  <c r="M102" i="11"/>
  <c r="N77" i="11"/>
  <c r="N159" i="6"/>
  <c r="N174" i="6" s="1"/>
  <c r="O113" i="6"/>
  <c r="N38" i="16"/>
  <c r="N59" i="16" s="1"/>
  <c r="N38" i="12"/>
  <c r="O76" i="5"/>
  <c r="O41" i="15"/>
  <c r="P79" i="7"/>
  <c r="P41" i="15" s="1"/>
  <c r="O106" i="7"/>
  <c r="N160" i="7"/>
  <c r="N40" i="18"/>
  <c r="N65" i="18" s="1"/>
  <c r="N112" i="13"/>
  <c r="O80" i="13"/>
  <c r="N101" i="13"/>
  <c r="N126" i="15"/>
  <c r="O71" i="15"/>
  <c r="N84" i="15"/>
  <c r="N109" i="15" s="1"/>
  <c r="N176" i="6"/>
  <c r="O130" i="6"/>
  <c r="N196" i="6"/>
  <c r="N124" i="5"/>
  <c r="O89" i="5"/>
  <c r="O42" i="15"/>
  <c r="P80" i="7"/>
  <c r="P42" i="15" s="1"/>
  <c r="O198" i="14"/>
  <c r="O146" i="14"/>
  <c r="O178" i="14" s="1"/>
  <c r="P78" i="14"/>
  <c r="O94" i="14"/>
  <c r="O126" i="14" s="1"/>
  <c r="M74" i="9"/>
  <c r="L95" i="9"/>
  <c r="K11" i="4"/>
  <c r="O127" i="12"/>
  <c r="O96" i="12"/>
  <c r="O114" i="12" s="1"/>
  <c r="P55" i="12"/>
  <c r="O66" i="12"/>
  <c r="O83" i="12" s="1"/>
  <c r="O43" i="17"/>
  <c r="O75" i="17" s="1"/>
  <c r="O47" i="14"/>
  <c r="P95" i="6"/>
  <c r="K125" i="11"/>
  <c r="L83" i="11"/>
  <c r="K108" i="11"/>
  <c r="N158" i="7"/>
  <c r="O104" i="7"/>
  <c r="N127" i="15"/>
  <c r="O72" i="15"/>
  <c r="N85" i="15"/>
  <c r="N110" i="15" s="1"/>
  <c r="L150" i="10"/>
  <c r="M99" i="10"/>
  <c r="L130" i="10"/>
  <c r="O126" i="5"/>
  <c r="P91" i="5"/>
  <c r="P126" i="5" s="1"/>
  <c r="N200" i="8"/>
  <c r="N180" i="8"/>
  <c r="O132" i="8"/>
  <c r="P110" i="6"/>
  <c r="P156" i="6" s="1"/>
  <c r="O156" i="6"/>
  <c r="N128" i="5"/>
  <c r="N139" i="5" s="1"/>
  <c r="O93" i="5"/>
  <c r="O192" i="6"/>
  <c r="O172" i="6"/>
  <c r="P126" i="6"/>
  <c r="N40" i="14"/>
  <c r="N54" i="14" s="1"/>
  <c r="O88" i="6"/>
  <c r="N102" i="6"/>
  <c r="N42" i="16"/>
  <c r="N63" i="16" s="1"/>
  <c r="N42" i="12"/>
  <c r="O80" i="5"/>
  <c r="N131" i="12"/>
  <c r="N156" i="5"/>
  <c r="N39" i="15"/>
  <c r="N49" i="15" s="1"/>
  <c r="O77" i="7"/>
  <c r="O87" i="7" s="1"/>
  <c r="M57" i="16"/>
  <c r="M45" i="16"/>
  <c r="K144" i="10"/>
  <c r="K124" i="10"/>
  <c r="K132" i="10" s="1"/>
  <c r="K15" i="4" s="1"/>
  <c r="L93" i="10"/>
  <c r="M146" i="15"/>
  <c r="M163" i="15"/>
  <c r="N160" i="6"/>
  <c r="N175" i="6" s="1"/>
  <c r="O114" i="6"/>
  <c r="K103" i="11"/>
  <c r="L78" i="11"/>
  <c r="K120" i="11"/>
  <c r="N149" i="7" l="1"/>
  <c r="N10" i="4" s="1"/>
  <c r="N179" i="6"/>
  <c r="N9" i="4" s="1"/>
  <c r="P43" i="17"/>
  <c r="P75" i="17" s="1"/>
  <c r="P47" i="14"/>
  <c r="O62" i="13"/>
  <c r="N67" i="13"/>
  <c r="N100" i="11"/>
  <c r="O75" i="11"/>
  <c r="M140" i="10"/>
  <c r="N89" i="10"/>
  <c r="M120" i="10"/>
  <c r="N152" i="15"/>
  <c r="N169" i="15"/>
  <c r="N42" i="18"/>
  <c r="N67" i="18" s="1"/>
  <c r="O68" i="11"/>
  <c r="O166" i="15"/>
  <c r="O149" i="15"/>
  <c r="P211" i="8"/>
  <c r="N108" i="13"/>
  <c r="O168" i="6"/>
  <c r="P122" i="6"/>
  <c r="O188" i="6"/>
  <c r="O164" i="8"/>
  <c r="P116" i="8"/>
  <c r="P164" i="8" s="1"/>
  <c r="N45" i="16"/>
  <c r="N57" i="16"/>
  <c r="N120" i="14"/>
  <c r="N134" i="14" s="1"/>
  <c r="N102" i="14"/>
  <c r="O149" i="5"/>
  <c r="P98" i="5"/>
  <c r="O133" i="5"/>
  <c r="R23" i="30"/>
  <c r="O107" i="5"/>
  <c r="O44" i="16"/>
  <c r="P82" i="5"/>
  <c r="P44" i="16" s="1"/>
  <c r="M21" i="4"/>
  <c r="M23" i="4" s="1"/>
  <c r="L102" i="9"/>
  <c r="M66" i="9"/>
  <c r="L87" i="9"/>
  <c r="L75" i="9"/>
  <c r="L111" i="9" s="1"/>
  <c r="P207" i="8"/>
  <c r="P187" i="8"/>
  <c r="O201" i="14"/>
  <c r="O149" i="14"/>
  <c r="O181" i="14" s="1"/>
  <c r="P81" i="14"/>
  <c r="O97" i="14"/>
  <c r="O129" i="14" s="1"/>
  <c r="P163" i="7"/>
  <c r="O208" i="8"/>
  <c r="O188" i="8"/>
  <c r="P140" i="8"/>
  <c r="O43" i="15"/>
  <c r="P81" i="7"/>
  <c r="P43" i="15" s="1"/>
  <c r="O122" i="15"/>
  <c r="P67" i="15"/>
  <c r="O80" i="15"/>
  <c r="O105" i="15" s="1"/>
  <c r="N88" i="15"/>
  <c r="N102" i="15"/>
  <c r="N113" i="15" s="1"/>
  <c r="L93" i="9"/>
  <c r="L110" i="9"/>
  <c r="M72" i="9"/>
  <c r="O212" i="8"/>
  <c r="P144" i="8"/>
  <c r="O192" i="8"/>
  <c r="P192" i="6"/>
  <c r="P172" i="6"/>
  <c r="N168" i="15"/>
  <c r="N151" i="15"/>
  <c r="O161" i="6"/>
  <c r="P115" i="6"/>
  <c r="P161" i="6" s="1"/>
  <c r="P124" i="15"/>
  <c r="P82" i="15"/>
  <c r="P107" i="15" s="1"/>
  <c r="O186" i="6"/>
  <c r="P120" i="6"/>
  <c r="M94" i="9"/>
  <c r="N73" i="9"/>
  <c r="O160" i="6"/>
  <c r="O175" i="6" s="1"/>
  <c r="P114" i="6"/>
  <c r="P160" i="6" s="1"/>
  <c r="P175" i="6" s="1"/>
  <c r="P104" i="7"/>
  <c r="O158" i="7"/>
  <c r="N74" i="9"/>
  <c r="M95" i="9"/>
  <c r="O40" i="18"/>
  <c r="O65" i="18" s="1"/>
  <c r="P80" i="13"/>
  <c r="O101" i="13"/>
  <c r="O112" i="13"/>
  <c r="O38" i="16"/>
  <c r="O59" i="16" s="1"/>
  <c r="O38" i="12"/>
  <c r="P76" i="5"/>
  <c r="O151" i="5"/>
  <c r="P100" i="5"/>
  <c r="O209" i="8"/>
  <c r="O189" i="8"/>
  <c r="P141" i="8"/>
  <c r="P55" i="9"/>
  <c r="P64" i="9" s="1"/>
  <c r="O64" i="9"/>
  <c r="M104" i="11"/>
  <c r="M121" i="11"/>
  <c r="N79" i="11"/>
  <c r="M121" i="10"/>
  <c r="N90" i="10"/>
  <c r="M141" i="10"/>
  <c r="O44" i="18"/>
  <c r="O69" i="18" s="1"/>
  <c r="P84" i="13"/>
  <c r="P44" i="18" s="1"/>
  <c r="P69" i="18" s="1"/>
  <c r="N102" i="13"/>
  <c r="O164" i="7"/>
  <c r="O147" i="7"/>
  <c r="P110" i="7"/>
  <c r="O192" i="14"/>
  <c r="O140" i="14"/>
  <c r="O172" i="14" s="1"/>
  <c r="P72" i="14"/>
  <c r="O86" i="14"/>
  <c r="O88" i="14"/>
  <c r="O205" i="8"/>
  <c r="O185" i="8"/>
  <c r="P137" i="8"/>
  <c r="P38" i="15"/>
  <c r="O199" i="14"/>
  <c r="P79" i="14"/>
  <c r="O147" i="14"/>
  <c r="O95" i="14"/>
  <c r="O127" i="14" s="1"/>
  <c r="O38" i="17"/>
  <c r="O70" i="17" s="1"/>
  <c r="O42" i="14"/>
  <c r="P90" i="6"/>
  <c r="O187" i="6"/>
  <c r="O163" i="6"/>
  <c r="P117" i="6"/>
  <c r="P163" i="6" s="1"/>
  <c r="P39" i="16"/>
  <c r="P60" i="16" s="1"/>
  <c r="P39" i="12"/>
  <c r="O203" i="14"/>
  <c r="O151" i="14"/>
  <c r="O183" i="14" s="1"/>
  <c r="P83" i="14"/>
  <c r="O99" i="14"/>
  <c r="O131" i="14" s="1"/>
  <c r="O159" i="7"/>
  <c r="P105" i="7"/>
  <c r="P59" i="12"/>
  <c r="O129" i="12"/>
  <c r="O98" i="12"/>
  <c r="O116" i="12" s="1"/>
  <c r="O68" i="12"/>
  <c r="O85" i="12" s="1"/>
  <c r="O48" i="15"/>
  <c r="P86" i="7"/>
  <c r="P48" i="15" s="1"/>
  <c r="O190" i="6"/>
  <c r="P124" i="6"/>
  <c r="N147" i="15"/>
  <c r="N164" i="15"/>
  <c r="M103" i="9"/>
  <c r="M88" i="9"/>
  <c r="N67" i="9"/>
  <c r="P103" i="7"/>
  <c r="O157" i="7"/>
  <c r="O140" i="7"/>
  <c r="O42" i="16"/>
  <c r="O63" i="16" s="1"/>
  <c r="O42" i="12"/>
  <c r="P80" i="5"/>
  <c r="O131" i="12"/>
  <c r="O156" i="5"/>
  <c r="O161" i="7"/>
  <c r="P107" i="7"/>
  <c r="O152" i="6"/>
  <c r="O167" i="6" s="1"/>
  <c r="P106" i="6"/>
  <c r="P152" i="6" s="1"/>
  <c r="P167" i="6" s="1"/>
  <c r="P93" i="5"/>
  <c r="P128" i="5" s="1"/>
  <c r="O128" i="5"/>
  <c r="O121" i="15"/>
  <c r="P66" i="15"/>
  <c r="O79" i="15"/>
  <c r="O104" i="15" s="1"/>
  <c r="O130" i="7"/>
  <c r="O142" i="7" s="1"/>
  <c r="P93" i="7"/>
  <c r="P130" i="7" s="1"/>
  <c r="O45" i="17"/>
  <c r="O77" i="17" s="1"/>
  <c r="O49" i="14"/>
  <c r="P97" i="6"/>
  <c r="M11" i="4"/>
  <c r="P128" i="15"/>
  <c r="P86" i="15"/>
  <c r="P111" i="15" s="1"/>
  <c r="P101" i="7"/>
  <c r="O112" i="7"/>
  <c r="O166" i="7" s="1"/>
  <c r="O155" i="7"/>
  <c r="M122" i="11"/>
  <c r="M105" i="11"/>
  <c r="N80" i="11"/>
  <c r="O81" i="13"/>
  <c r="P76" i="13"/>
  <c r="O46" i="17"/>
  <c r="O78" i="17" s="1"/>
  <c r="O50" i="14"/>
  <c r="P98" i="6"/>
  <c r="O195" i="6"/>
  <c r="O135" i="7"/>
  <c r="P98" i="7"/>
  <c r="P135" i="7" s="1"/>
  <c r="N142" i="5"/>
  <c r="N8" i="4" s="1"/>
  <c r="N81" i="12"/>
  <c r="N88" i="12" s="1"/>
  <c r="N71" i="12"/>
  <c r="P74" i="14"/>
  <c r="O194" i="14"/>
  <c r="O142" i="14"/>
  <c r="O174" i="14" s="1"/>
  <c r="O90" i="14"/>
  <c r="O122" i="14" s="1"/>
  <c r="O167" i="8"/>
  <c r="O183" i="8" s="1"/>
  <c r="P119" i="8"/>
  <c r="P167" i="8" s="1"/>
  <c r="P106" i="5"/>
  <c r="P141" i="5" s="1"/>
  <c r="O141" i="5"/>
  <c r="O130" i="12"/>
  <c r="O99" i="12"/>
  <c r="O117" i="12" s="1"/>
  <c r="P60" i="12"/>
  <c r="O69" i="12"/>
  <c r="O86" i="12" s="1"/>
  <c r="O134" i="5"/>
  <c r="O150" i="5"/>
  <c r="P99" i="5"/>
  <c r="M108" i="9"/>
  <c r="M106" i="9"/>
  <c r="M91" i="9"/>
  <c r="N70" i="9"/>
  <c r="P37" i="16"/>
  <c r="P58" i="16" s="1"/>
  <c r="P37" i="12"/>
  <c r="L55" i="16"/>
  <c r="K65" i="16"/>
  <c r="L109" i="11"/>
  <c r="L126" i="11"/>
  <c r="M84" i="11"/>
  <c r="P13" i="30"/>
  <c r="P11" i="30"/>
  <c r="P15" i="30" s="1"/>
  <c r="O165" i="8"/>
  <c r="P117" i="8"/>
  <c r="P165" i="8" s="1"/>
  <c r="O119" i="15"/>
  <c r="O75" i="15"/>
  <c r="P64" i="15"/>
  <c r="O77" i="15"/>
  <c r="M145" i="10"/>
  <c r="N94" i="10"/>
  <c r="M125" i="10"/>
  <c r="O38" i="18"/>
  <c r="O63" i="18" s="1"/>
  <c r="O110" i="13"/>
  <c r="P78" i="13"/>
  <c r="M126" i="10"/>
  <c r="N95" i="10"/>
  <c r="M146" i="10"/>
  <c r="P89" i="5"/>
  <c r="P124" i="5" s="1"/>
  <c r="O124" i="5"/>
  <c r="O135" i="5" s="1"/>
  <c r="O39" i="15"/>
  <c r="O49" i="15" s="1"/>
  <c r="P77" i="7"/>
  <c r="P39" i="15" s="1"/>
  <c r="P127" i="12"/>
  <c r="P96" i="12"/>
  <c r="P114" i="12" s="1"/>
  <c r="P66" i="12"/>
  <c r="P83" i="12" s="1"/>
  <c r="P198" i="14"/>
  <c r="P146" i="14"/>
  <c r="P178" i="14" s="1"/>
  <c r="P94" i="14"/>
  <c r="P126" i="14" s="1"/>
  <c r="O176" i="6"/>
  <c r="P130" i="6"/>
  <c r="O196" i="6"/>
  <c r="O200" i="14"/>
  <c r="O148" i="14"/>
  <c r="O180" i="14" s="1"/>
  <c r="P80" i="14"/>
  <c r="O96" i="14"/>
  <c r="O128" i="14" s="1"/>
  <c r="N163" i="15"/>
  <c r="N146" i="15"/>
  <c r="O133" i="6"/>
  <c r="M142" i="10"/>
  <c r="M122" i="10"/>
  <c r="N91" i="10"/>
  <c r="O37" i="17"/>
  <c r="O69" i="17" s="1"/>
  <c r="O41" i="14"/>
  <c r="P89" i="6"/>
  <c r="O162" i="7"/>
  <c r="O145" i="7"/>
  <c r="P108" i="7"/>
  <c r="O153" i="15"/>
  <c r="O170" i="15"/>
  <c r="O48" i="17"/>
  <c r="O80" i="17" s="1"/>
  <c r="O52" i="14"/>
  <c r="P100" i="6"/>
  <c r="J17" i="4"/>
  <c r="N41" i="18"/>
  <c r="N66" i="18" s="1"/>
  <c r="N113" i="13"/>
  <c r="O129" i="15"/>
  <c r="P74" i="15"/>
  <c r="O87" i="15"/>
  <c r="O112" i="15" s="1"/>
  <c r="O37" i="18"/>
  <c r="O62" i="18" s="1"/>
  <c r="P77" i="13"/>
  <c r="O109" i="13"/>
  <c r="N206" i="14"/>
  <c r="O155" i="6"/>
  <c r="O170" i="6" s="1"/>
  <c r="P109" i="6"/>
  <c r="P155" i="6" s="1"/>
  <c r="P82" i="14"/>
  <c r="O202" i="14"/>
  <c r="O150" i="14"/>
  <c r="O182" i="14" s="1"/>
  <c r="O98" i="14"/>
  <c r="O130" i="14" s="1"/>
  <c r="L101" i="11"/>
  <c r="M76" i="11"/>
  <c r="L118" i="11"/>
  <c r="L86" i="11"/>
  <c r="L128" i="11" s="1"/>
  <c r="O91" i="13"/>
  <c r="O98" i="13" s="1"/>
  <c r="P70" i="13"/>
  <c r="P91" i="13" s="1"/>
  <c r="L123" i="10"/>
  <c r="M92" i="10"/>
  <c r="L143" i="10"/>
  <c r="M118" i="10"/>
  <c r="N87" i="10"/>
  <c r="M138" i="10"/>
  <c r="N132" i="12"/>
  <c r="P203" i="8"/>
  <c r="P183" i="8"/>
  <c r="N139" i="10"/>
  <c r="N119" i="10"/>
  <c r="O88" i="10"/>
  <c r="O128" i="12"/>
  <c r="P56" i="12"/>
  <c r="O97" i="12"/>
  <c r="O115" i="12" s="1"/>
  <c r="O67" i="12"/>
  <c r="O84" i="12" s="1"/>
  <c r="Q10" i="30"/>
  <c r="O202" i="8"/>
  <c r="O182" i="8"/>
  <c r="P134" i="8"/>
  <c r="P54" i="12"/>
  <c r="O126" i="12"/>
  <c r="O95" i="12"/>
  <c r="O113" i="12" s="1"/>
  <c r="O65" i="12"/>
  <c r="O82" i="12" s="1"/>
  <c r="O44" i="17"/>
  <c r="O76" i="17" s="1"/>
  <c r="O48" i="14"/>
  <c r="P96" i="6"/>
  <c r="L61" i="18"/>
  <c r="L72" i="18" s="1"/>
  <c r="L74" i="18" s="1"/>
  <c r="L29" i="4" s="1"/>
  <c r="L47" i="18"/>
  <c r="P47" i="17"/>
  <c r="P79" i="17" s="1"/>
  <c r="P51" i="14"/>
  <c r="O43" i="16"/>
  <c r="P81" i="5"/>
  <c r="P43" i="16" s="1"/>
  <c r="O45" i="18"/>
  <c r="O70" i="18" s="1"/>
  <c r="P85" i="13"/>
  <c r="O92" i="13"/>
  <c r="O99" i="13" s="1"/>
  <c r="N144" i="15"/>
  <c r="N155" i="15" s="1"/>
  <c r="N161" i="15"/>
  <c r="N130" i="15"/>
  <c r="N172" i="15" s="1"/>
  <c r="O156" i="7"/>
  <c r="P102" i="7"/>
  <c r="O153" i="14"/>
  <c r="O185" i="14" s="1"/>
  <c r="P85" i="14"/>
  <c r="O205" i="14"/>
  <c r="O101" i="14"/>
  <c r="O133" i="14" s="1"/>
  <c r="N46" i="20"/>
  <c r="M53" i="20"/>
  <c r="M54" i="20" s="1"/>
  <c r="M34" i="4" s="1"/>
  <c r="O195" i="14"/>
  <c r="O143" i="14"/>
  <c r="O175" i="14" s="1"/>
  <c r="P75" i="14"/>
  <c r="O91" i="14"/>
  <c r="O123" i="14" s="1"/>
  <c r="L120" i="11"/>
  <c r="M78" i="11"/>
  <c r="L103" i="11"/>
  <c r="O127" i="15"/>
  <c r="P72" i="15"/>
  <c r="O85" i="15"/>
  <c r="O110" i="15" s="1"/>
  <c r="N102" i="11"/>
  <c r="N119" i="11"/>
  <c r="O77" i="11"/>
  <c r="O170" i="8"/>
  <c r="O186" i="8" s="1"/>
  <c r="P122" i="8"/>
  <c r="P170" i="8" s="1"/>
  <c r="P186" i="8" s="1"/>
  <c r="Q9" i="30"/>
  <c r="N158" i="5"/>
  <c r="O40" i="14"/>
  <c r="P88" i="6"/>
  <c r="P185" i="6" s="1"/>
  <c r="O102" i="6"/>
  <c r="M150" i="10"/>
  <c r="M130" i="10"/>
  <c r="N99" i="10"/>
  <c r="O159" i="6"/>
  <c r="O174" i="6" s="1"/>
  <c r="P113" i="6"/>
  <c r="P159" i="6" s="1"/>
  <c r="P165" i="6"/>
  <c r="M129" i="10"/>
  <c r="N98" i="10"/>
  <c r="M149" i="10"/>
  <c r="L68" i="17"/>
  <c r="L82" i="17" s="1"/>
  <c r="L84" i="17" s="1"/>
  <c r="L28" i="4" s="1"/>
  <c r="L50" i="17"/>
  <c r="O40" i="17"/>
  <c r="O72" i="17" s="1"/>
  <c r="O44" i="14"/>
  <c r="P92" i="6"/>
  <c r="O47" i="15"/>
  <c r="P85" i="7"/>
  <c r="P47" i="15" s="1"/>
  <c r="N171" i="15"/>
  <c r="N154" i="15"/>
  <c r="M107" i="11"/>
  <c r="M124" i="11"/>
  <c r="N82" i="11"/>
  <c r="P150" i="15"/>
  <c r="P167" i="15"/>
  <c r="O151" i="6"/>
  <c r="O166" i="6" s="1"/>
  <c r="O179" i="6" s="1"/>
  <c r="O9" i="4" s="1"/>
  <c r="P105" i="6"/>
  <c r="P151" i="6" s="1"/>
  <c r="N112" i="12"/>
  <c r="N119" i="12" s="1"/>
  <c r="N101" i="12"/>
  <c r="P49" i="17"/>
  <c r="P81" i="17" s="1"/>
  <c r="P53" i="14"/>
  <c r="O94" i="13"/>
  <c r="P73" i="13"/>
  <c r="P94" i="13" s="1"/>
  <c r="P41" i="17"/>
  <c r="P73" i="17" s="1"/>
  <c r="P45" i="14"/>
  <c r="M155" i="15"/>
  <c r="R24" i="30"/>
  <c r="O199" i="8"/>
  <c r="P131" i="8"/>
  <c r="O145" i="8"/>
  <c r="O179" i="8"/>
  <c r="M22" i="4"/>
  <c r="P94" i="7"/>
  <c r="P131" i="7" s="1"/>
  <c r="O131" i="7"/>
  <c r="O143" i="7" s="1"/>
  <c r="O197" i="6"/>
  <c r="O177" i="6"/>
  <c r="P131" i="6"/>
  <c r="L144" i="10"/>
  <c r="L124" i="10"/>
  <c r="L132" i="10" s="1"/>
  <c r="L15" i="4" s="1"/>
  <c r="M93" i="10"/>
  <c r="M101" i="10" s="1"/>
  <c r="M152" i="10" s="1"/>
  <c r="P106" i="7"/>
  <c r="O160" i="7"/>
  <c r="O193" i="14"/>
  <c r="O141" i="14"/>
  <c r="O173" i="14" s="1"/>
  <c r="P73" i="14"/>
  <c r="O89" i="14"/>
  <c r="O121" i="14" s="1"/>
  <c r="O185" i="6"/>
  <c r="O40" i="15"/>
  <c r="P78" i="7"/>
  <c r="P40" i="15" s="1"/>
  <c r="O157" i="5"/>
  <c r="O139" i="5"/>
  <c r="P104" i="5"/>
  <c r="O210" i="8"/>
  <c r="P142" i="8"/>
  <c r="O190" i="8"/>
  <c r="N148" i="10"/>
  <c r="O97" i="10"/>
  <c r="N128" i="10"/>
  <c r="L54" i="16"/>
  <c r="K64" i="16"/>
  <c r="K66" i="16" s="1"/>
  <c r="K68" i="16" s="1"/>
  <c r="K27" i="4" s="1"/>
  <c r="N71" i="10"/>
  <c r="M85" i="10"/>
  <c r="M36" i="17"/>
  <c r="O132" i="7"/>
  <c r="O144" i="7" s="1"/>
  <c r="P95" i="7"/>
  <c r="P132" i="7" s="1"/>
  <c r="P174" i="6"/>
  <c r="P194" i="6"/>
  <c r="L109" i="9"/>
  <c r="M71" i="9"/>
  <c r="L92" i="9"/>
  <c r="L107" i="9"/>
  <c r="Q6" i="30"/>
  <c r="O45" i="15"/>
  <c r="P83" i="7"/>
  <c r="P45" i="15" s="1"/>
  <c r="O134" i="7"/>
  <c r="O146" i="7" s="1"/>
  <c r="P97" i="7"/>
  <c r="P134" i="7" s="1"/>
  <c r="P146" i="7" s="1"/>
  <c r="O189" i="6"/>
  <c r="O169" i="6"/>
  <c r="P123" i="6"/>
  <c r="O152" i="14"/>
  <c r="O184" i="14" s="1"/>
  <c r="P84" i="14"/>
  <c r="O204" i="14"/>
  <c r="O100" i="14"/>
  <c r="O132" i="14" s="1"/>
  <c r="K111" i="11"/>
  <c r="K16" i="4" s="1"/>
  <c r="K17" i="4" s="1"/>
  <c r="O127" i="7"/>
  <c r="O139" i="7" s="1"/>
  <c r="P90" i="7"/>
  <c r="P127" i="7" s="1"/>
  <c r="O125" i="12"/>
  <c r="O94" i="12"/>
  <c r="O62" i="12"/>
  <c r="O132" i="12" s="1"/>
  <c r="P53" i="12"/>
  <c r="O64" i="12"/>
  <c r="N110" i="11"/>
  <c r="N127" i="11"/>
  <c r="O85" i="11"/>
  <c r="N193" i="8"/>
  <c r="N95" i="13"/>
  <c r="P120" i="15"/>
  <c r="P78" i="15"/>
  <c r="P103" i="15" s="1"/>
  <c r="N62" i="11"/>
  <c r="N117" i="11" s="1"/>
  <c r="M73" i="11"/>
  <c r="M36" i="18"/>
  <c r="K29" i="4"/>
  <c r="P193" i="6"/>
  <c r="P173" i="6"/>
  <c r="P68" i="15"/>
  <c r="O123" i="15"/>
  <c r="O81" i="15"/>
  <c r="O106" i="15" s="1"/>
  <c r="P171" i="6"/>
  <c r="P191" i="6"/>
  <c r="N179" i="14"/>
  <c r="N186" i="14" s="1"/>
  <c r="N154" i="14"/>
  <c r="O204" i="8"/>
  <c r="P136" i="8"/>
  <c r="O184" i="8"/>
  <c r="Q19" i="30"/>
  <c r="Q28" i="30" s="1"/>
  <c r="O99" i="8"/>
  <c r="N113" i="8"/>
  <c r="Q5" i="30" s="1"/>
  <c r="L125" i="11"/>
  <c r="L108" i="11"/>
  <c r="M83" i="11"/>
  <c r="O200" i="8"/>
  <c r="O180" i="8"/>
  <c r="P132" i="8"/>
  <c r="O126" i="15"/>
  <c r="P71" i="15"/>
  <c r="O84" i="15"/>
  <c r="O109" i="15" s="1"/>
  <c r="P116" i="7"/>
  <c r="P128" i="7" s="1"/>
  <c r="O128" i="7"/>
  <c r="O201" i="8"/>
  <c r="O181" i="8"/>
  <c r="P133" i="8"/>
  <c r="P39" i="17"/>
  <c r="P71" i="17" s="1"/>
  <c r="P43" i="14"/>
  <c r="O197" i="14"/>
  <c r="P77" i="14"/>
  <c r="O145" i="14"/>
  <c r="O177" i="14" s="1"/>
  <c r="O93" i="14"/>
  <c r="O125" i="14" s="1"/>
  <c r="R18" i="30"/>
  <c r="O36" i="16"/>
  <c r="O36" i="12"/>
  <c r="O43" i="12" s="1"/>
  <c r="P74" i="5"/>
  <c r="O84" i="5"/>
  <c r="R4" i="30" s="1"/>
  <c r="O148" i="5"/>
  <c r="P76" i="14"/>
  <c r="O144" i="14"/>
  <c r="O176" i="14" s="1"/>
  <c r="O196" i="14"/>
  <c r="O92" i="14"/>
  <c r="O124" i="14" s="1"/>
  <c r="Q25" i="30"/>
  <c r="Q27" i="30"/>
  <c r="N104" i="9"/>
  <c r="N89" i="9"/>
  <c r="O68" i="9"/>
  <c r="M147" i="10"/>
  <c r="M127" i="10"/>
  <c r="N96" i="10"/>
  <c r="L106" i="11"/>
  <c r="M81" i="11"/>
  <c r="L123" i="11"/>
  <c r="O126" i="7"/>
  <c r="O138" i="7" s="1"/>
  <c r="P89" i="7"/>
  <c r="P126" i="7" s="1"/>
  <c r="L131" i="10"/>
  <c r="M100" i="10"/>
  <c r="L151" i="10"/>
  <c r="P29" i="30"/>
  <c r="O198" i="6"/>
  <c r="O178" i="6"/>
  <c r="P132" i="6"/>
  <c r="O129" i="7"/>
  <c r="O141" i="7" s="1"/>
  <c r="P92" i="7"/>
  <c r="P129" i="7" s="1"/>
  <c r="N69" i="9"/>
  <c r="M105" i="9"/>
  <c r="M90" i="9"/>
  <c r="N199" i="8"/>
  <c r="O43" i="18"/>
  <c r="O68" i="18" s="1"/>
  <c r="P83" i="13"/>
  <c r="O90" i="13"/>
  <c r="O95" i="13" s="1"/>
  <c r="O145" i="15"/>
  <c r="O162" i="15"/>
  <c r="P111" i="7"/>
  <c r="O165" i="7"/>
  <c r="O148" i="7"/>
  <c r="L23" i="4"/>
  <c r="O155" i="5"/>
  <c r="O153" i="5"/>
  <c r="P102" i="5"/>
  <c r="O137" i="5"/>
  <c r="P39" i="18"/>
  <c r="P64" i="18" s="1"/>
  <c r="P100" i="13"/>
  <c r="P111" i="13"/>
  <c r="O193" i="6"/>
  <c r="N165" i="15"/>
  <c r="N148" i="15"/>
  <c r="P152" i="5"/>
  <c r="P154" i="5"/>
  <c r="P136" i="5"/>
  <c r="O175" i="8"/>
  <c r="O191" i="8" s="1"/>
  <c r="P127" i="8"/>
  <c r="P175" i="8" s="1"/>
  <c r="P191" i="8" s="1"/>
  <c r="O149" i="7" l="1"/>
  <c r="O10" i="4" s="1"/>
  <c r="P198" i="6"/>
  <c r="P178" i="6"/>
  <c r="P37" i="17"/>
  <c r="P69" i="17" s="1"/>
  <c r="P41" i="14"/>
  <c r="P153" i="15"/>
  <c r="P170" i="15"/>
  <c r="P212" i="8"/>
  <c r="P192" i="8"/>
  <c r="O112" i="12"/>
  <c r="O119" i="12" s="1"/>
  <c r="O101" i="12"/>
  <c r="O148" i="10"/>
  <c r="O128" i="10"/>
  <c r="P97" i="10"/>
  <c r="P160" i="7"/>
  <c r="P143" i="7"/>
  <c r="O54" i="14"/>
  <c r="P195" i="14"/>
  <c r="P143" i="14"/>
  <c r="P175" i="14" s="1"/>
  <c r="P91" i="14"/>
  <c r="P123" i="14" s="1"/>
  <c r="P153" i="14"/>
  <c r="P185" i="14" s="1"/>
  <c r="P205" i="14"/>
  <c r="P101" i="14"/>
  <c r="P133" i="14" s="1"/>
  <c r="P126" i="12"/>
  <c r="P95" i="12"/>
  <c r="P113" i="12" s="1"/>
  <c r="P65" i="12"/>
  <c r="P82" i="12" s="1"/>
  <c r="P128" i="12"/>
  <c r="P97" i="12"/>
  <c r="P115" i="12" s="1"/>
  <c r="P67" i="12"/>
  <c r="P84" i="12" s="1"/>
  <c r="P202" i="14"/>
  <c r="P150" i="14"/>
  <c r="P182" i="14" s="1"/>
  <c r="P98" i="14"/>
  <c r="P130" i="14" s="1"/>
  <c r="O144" i="15"/>
  <c r="O161" i="15"/>
  <c r="O130" i="15"/>
  <c r="O172" i="15" s="1"/>
  <c r="P134" i="5"/>
  <c r="P150" i="5"/>
  <c r="N20" i="4"/>
  <c r="P121" i="15"/>
  <c r="P79" i="15"/>
  <c r="P104" i="15" s="1"/>
  <c r="P159" i="7"/>
  <c r="P142" i="7"/>
  <c r="N104" i="11"/>
  <c r="O79" i="11"/>
  <c r="N121" i="11"/>
  <c r="P135" i="5"/>
  <c r="P151" i="5"/>
  <c r="P40" i="18"/>
  <c r="P65" i="18" s="1"/>
  <c r="P101" i="13"/>
  <c r="P112" i="13"/>
  <c r="O147" i="15"/>
  <c r="O164" i="15"/>
  <c r="L96" i="9"/>
  <c r="L14" i="4" s="1"/>
  <c r="O142" i="5"/>
  <c r="O8" i="4" s="1"/>
  <c r="O11" i="4" s="1"/>
  <c r="N140" i="10"/>
  <c r="O89" i="10"/>
  <c r="N120" i="10"/>
  <c r="M123" i="11"/>
  <c r="M106" i="11"/>
  <c r="N81" i="11"/>
  <c r="S18" i="30"/>
  <c r="P36" i="16"/>
  <c r="P36" i="12"/>
  <c r="P84" i="5"/>
  <c r="P148" i="5"/>
  <c r="P126" i="15"/>
  <c r="P84" i="15"/>
  <c r="P109" i="15" s="1"/>
  <c r="P189" i="6"/>
  <c r="P169" i="6"/>
  <c r="P45" i="18"/>
  <c r="P70" i="18" s="1"/>
  <c r="P92" i="13"/>
  <c r="P202" i="8"/>
  <c r="P182" i="8"/>
  <c r="P129" i="15"/>
  <c r="P87" i="15"/>
  <c r="P112" i="15" s="1"/>
  <c r="M55" i="16"/>
  <c r="L65" i="16"/>
  <c r="N11" i="4"/>
  <c r="P45" i="17"/>
  <c r="P77" i="17" s="1"/>
  <c r="P49" i="14"/>
  <c r="O163" i="15"/>
  <c r="O146" i="15"/>
  <c r="P157" i="7"/>
  <c r="P140" i="7"/>
  <c r="O179" i="14"/>
  <c r="O154" i="14"/>
  <c r="O120" i="14"/>
  <c r="O134" i="14" s="1"/>
  <c r="O102" i="14"/>
  <c r="Q20" i="30"/>
  <c r="N94" i="9"/>
  <c r="O73" i="9"/>
  <c r="M93" i="9"/>
  <c r="M110" i="9"/>
  <c r="N72" i="9"/>
  <c r="N66" i="9"/>
  <c r="M87" i="9"/>
  <c r="M75" i="9"/>
  <c r="M111" i="9" s="1"/>
  <c r="M102" i="9"/>
  <c r="P149" i="5"/>
  <c r="P133" i="5"/>
  <c r="S23" i="30"/>
  <c r="P107" i="5"/>
  <c r="P197" i="14"/>
  <c r="P145" i="14"/>
  <c r="P177" i="14" s="1"/>
  <c r="P93" i="14"/>
  <c r="P125" i="14" s="1"/>
  <c r="P133" i="6"/>
  <c r="P144" i="7"/>
  <c r="P161" i="7"/>
  <c r="O67" i="13"/>
  <c r="P62" i="13"/>
  <c r="P67" i="13" s="1"/>
  <c r="Q29" i="30"/>
  <c r="O168" i="15"/>
  <c r="O151" i="15"/>
  <c r="R19" i="30"/>
  <c r="R28" i="30" s="1"/>
  <c r="P99" i="8"/>
  <c r="O113" i="8"/>
  <c r="R5" i="30" s="1"/>
  <c r="R6" i="30" s="1"/>
  <c r="O110" i="11"/>
  <c r="O127" i="11"/>
  <c r="P85" i="11"/>
  <c r="M50" i="17"/>
  <c r="M68" i="17"/>
  <c r="M82" i="17" s="1"/>
  <c r="M84" i="17" s="1"/>
  <c r="M28" i="4" s="1"/>
  <c r="M144" i="10"/>
  <c r="M124" i="10"/>
  <c r="N93" i="10"/>
  <c r="P127" i="15"/>
  <c r="P85" i="15"/>
  <c r="P110" i="15" s="1"/>
  <c r="P156" i="7"/>
  <c r="P139" i="7"/>
  <c r="P44" i="17"/>
  <c r="P76" i="17" s="1"/>
  <c r="P48" i="14"/>
  <c r="O119" i="10"/>
  <c r="P88" i="10"/>
  <c r="O139" i="10"/>
  <c r="N138" i="10"/>
  <c r="N118" i="10"/>
  <c r="O87" i="10"/>
  <c r="O171" i="15"/>
  <c r="O154" i="15"/>
  <c r="P200" i="14"/>
  <c r="P148" i="14"/>
  <c r="P180" i="14" s="1"/>
  <c r="P96" i="14"/>
  <c r="P128" i="14" s="1"/>
  <c r="N145" i="10"/>
  <c r="N125" i="10"/>
  <c r="O94" i="10"/>
  <c r="P108" i="13"/>
  <c r="P81" i="13"/>
  <c r="N103" i="9"/>
  <c r="N88" i="9"/>
  <c r="O67" i="9"/>
  <c r="P199" i="14"/>
  <c r="P147" i="14"/>
  <c r="P95" i="14"/>
  <c r="P127" i="14" s="1"/>
  <c r="O206" i="14"/>
  <c r="P201" i="14"/>
  <c r="P149" i="14"/>
  <c r="P181" i="14" s="1"/>
  <c r="P97" i="14"/>
  <c r="P129" i="14" s="1"/>
  <c r="P188" i="6"/>
  <c r="P168" i="6"/>
  <c r="P179" i="6" s="1"/>
  <c r="O42" i="18"/>
  <c r="O67" i="18" s="1"/>
  <c r="P68" i="11"/>
  <c r="P42" i="18" s="1"/>
  <c r="P67" i="18" s="1"/>
  <c r="O100" i="11"/>
  <c r="P75" i="11"/>
  <c r="P204" i="14"/>
  <c r="P152" i="14"/>
  <c r="P184" i="14" s="1"/>
  <c r="P100" i="14"/>
  <c r="P132" i="14" s="1"/>
  <c r="N107" i="11"/>
  <c r="N124" i="11"/>
  <c r="O82" i="11"/>
  <c r="P48" i="17"/>
  <c r="P80" i="17" s="1"/>
  <c r="P52" i="14"/>
  <c r="P46" i="17"/>
  <c r="P78" i="17" s="1"/>
  <c r="P50" i="14"/>
  <c r="P195" i="6"/>
  <c r="P129" i="12"/>
  <c r="P98" i="12"/>
  <c r="P116" i="12" s="1"/>
  <c r="P68" i="12"/>
  <c r="P85" i="12" s="1"/>
  <c r="O45" i="16"/>
  <c r="O57" i="16"/>
  <c r="P201" i="8"/>
  <c r="P181" i="8"/>
  <c r="P200" i="8"/>
  <c r="P180" i="8"/>
  <c r="M61" i="18"/>
  <c r="M72" i="18" s="1"/>
  <c r="M74" i="18" s="1"/>
  <c r="M47" i="18"/>
  <c r="P190" i="8"/>
  <c r="P210" i="8"/>
  <c r="N150" i="10"/>
  <c r="N130" i="10"/>
  <c r="O99" i="10"/>
  <c r="Q13" i="30"/>
  <c r="Q11" i="30"/>
  <c r="Q15" i="30" s="1"/>
  <c r="O152" i="15"/>
  <c r="O169" i="15"/>
  <c r="M101" i="11"/>
  <c r="M111" i="11" s="1"/>
  <c r="M16" i="4" s="1"/>
  <c r="N76" i="11"/>
  <c r="M118" i="11"/>
  <c r="M86" i="11"/>
  <c r="M128" i="11" s="1"/>
  <c r="N142" i="10"/>
  <c r="N122" i="10"/>
  <c r="O91" i="10"/>
  <c r="N146" i="10"/>
  <c r="N126" i="10"/>
  <c r="O95" i="10"/>
  <c r="O41" i="18"/>
  <c r="O66" i="18" s="1"/>
  <c r="O113" i="13"/>
  <c r="P192" i="14"/>
  <c r="P140" i="14"/>
  <c r="P172" i="14" s="1"/>
  <c r="P86" i="14"/>
  <c r="P88" i="14"/>
  <c r="P38" i="16"/>
  <c r="P59" i="16" s="1"/>
  <c r="P38" i="12"/>
  <c r="O74" i="9"/>
  <c r="N95" i="9"/>
  <c r="P166" i="6"/>
  <c r="P186" i="6"/>
  <c r="P43" i="18"/>
  <c r="P68" i="18" s="1"/>
  <c r="P90" i="13"/>
  <c r="P95" i="13" s="1"/>
  <c r="N122" i="11"/>
  <c r="N105" i="11"/>
  <c r="O80" i="11"/>
  <c r="P190" i="6"/>
  <c r="P170" i="6"/>
  <c r="P166" i="15"/>
  <c r="P149" i="15"/>
  <c r="P122" i="15"/>
  <c r="P80" i="15"/>
  <c r="P105" i="15" s="1"/>
  <c r="M151" i="10"/>
  <c r="M131" i="10"/>
  <c r="N100" i="10"/>
  <c r="M109" i="9"/>
  <c r="N71" i="9"/>
  <c r="M92" i="9"/>
  <c r="M107" i="9"/>
  <c r="O71" i="10"/>
  <c r="N85" i="10"/>
  <c r="N36" i="17"/>
  <c r="P193" i="14"/>
  <c r="P141" i="14"/>
  <c r="P173" i="14" s="1"/>
  <c r="P89" i="14"/>
  <c r="P121" i="14" s="1"/>
  <c r="O193" i="8"/>
  <c r="N129" i="10"/>
  <c r="O98" i="10"/>
  <c r="N149" i="10"/>
  <c r="N53" i="20"/>
  <c r="N54" i="20" s="1"/>
  <c r="N34" i="4" s="1"/>
  <c r="O46" i="20"/>
  <c r="N213" i="8"/>
  <c r="L111" i="11"/>
  <c r="L16" i="4" s="1"/>
  <c r="P162" i="7"/>
  <c r="P145" i="7"/>
  <c r="N106" i="9"/>
  <c r="N91" i="9"/>
  <c r="N108" i="9"/>
  <c r="O70" i="9"/>
  <c r="P130" i="12"/>
  <c r="P99" i="12"/>
  <c r="P117" i="12" s="1"/>
  <c r="P69" i="12"/>
  <c r="P86" i="12" s="1"/>
  <c r="O108" i="13"/>
  <c r="P138" i="7"/>
  <c r="P112" i="7"/>
  <c r="P155" i="7"/>
  <c r="P42" i="16"/>
  <c r="P63" i="16" s="1"/>
  <c r="P42" i="12"/>
  <c r="P131" i="12"/>
  <c r="P156" i="5"/>
  <c r="P203" i="14"/>
  <c r="P151" i="14"/>
  <c r="P183" i="14" s="1"/>
  <c r="P99" i="14"/>
  <c r="P131" i="14" s="1"/>
  <c r="P87" i="7"/>
  <c r="O186" i="14"/>
  <c r="N22" i="4"/>
  <c r="P208" i="8"/>
  <c r="P188" i="8"/>
  <c r="N21" i="4"/>
  <c r="P145" i="15"/>
  <c r="P162" i="15"/>
  <c r="P165" i="7"/>
  <c r="P148" i="7"/>
  <c r="N147" i="10"/>
  <c r="N127" i="10"/>
  <c r="O96" i="10"/>
  <c r="P155" i="5"/>
  <c r="P137" i="5"/>
  <c r="P153" i="5"/>
  <c r="P204" i="8"/>
  <c r="P184" i="8"/>
  <c r="O62" i="11"/>
  <c r="O117" i="11" s="1"/>
  <c r="N73" i="11"/>
  <c r="N36" i="18"/>
  <c r="K30" i="4"/>
  <c r="K33" i="4" s="1"/>
  <c r="K35" i="4" s="1"/>
  <c r="P157" i="5"/>
  <c r="P139" i="5"/>
  <c r="P197" i="6"/>
  <c r="P177" i="6"/>
  <c r="R10" i="30"/>
  <c r="R14" i="30" s="1"/>
  <c r="O213" i="8"/>
  <c r="M120" i="11"/>
  <c r="M103" i="11"/>
  <c r="N78" i="11"/>
  <c r="Q14" i="30"/>
  <c r="M143" i="10"/>
  <c r="M123" i="10"/>
  <c r="M132" i="10" s="1"/>
  <c r="M15" i="4" s="1"/>
  <c r="N92" i="10"/>
  <c r="N101" i="10" s="1"/>
  <c r="N152" i="10" s="1"/>
  <c r="O88" i="15"/>
  <c r="O102" i="15"/>
  <c r="O113" i="15" s="1"/>
  <c r="M109" i="11"/>
  <c r="N84" i="11"/>
  <c r="M126" i="11"/>
  <c r="O97" i="13"/>
  <c r="O102" i="13" s="1"/>
  <c r="P38" i="17"/>
  <c r="P70" i="17" s="1"/>
  <c r="P42" i="14"/>
  <c r="P187" i="6"/>
  <c r="P49" i="15"/>
  <c r="P209" i="8"/>
  <c r="P189" i="8"/>
  <c r="P141" i="7"/>
  <c r="P158" i="7"/>
  <c r="P40" i="14"/>
  <c r="P102" i="6"/>
  <c r="R25" i="30"/>
  <c r="R27" i="30"/>
  <c r="O69" i="9"/>
  <c r="N105" i="9"/>
  <c r="N90" i="9"/>
  <c r="O165" i="15"/>
  <c r="O148" i="15"/>
  <c r="O81" i="12"/>
  <c r="O88" i="12" s="1"/>
  <c r="O20" i="4" s="1"/>
  <c r="O71" i="12"/>
  <c r="O104" i="9"/>
  <c r="O89" i="9"/>
  <c r="P68" i="9"/>
  <c r="P196" i="14"/>
  <c r="P144" i="14"/>
  <c r="P176" i="14" s="1"/>
  <c r="P92" i="14"/>
  <c r="P124" i="14" s="1"/>
  <c r="M125" i="11"/>
  <c r="M108" i="11"/>
  <c r="N83" i="11"/>
  <c r="P123" i="15"/>
  <c r="P81" i="15"/>
  <c r="P106" i="15" s="1"/>
  <c r="P125" i="12"/>
  <c r="P94" i="12"/>
  <c r="P62" i="12"/>
  <c r="P132" i="12" s="1"/>
  <c r="P64" i="12"/>
  <c r="M54" i="16"/>
  <c r="L64" i="16"/>
  <c r="L66" i="16" s="1"/>
  <c r="L68" i="16" s="1"/>
  <c r="L27" i="4" s="1"/>
  <c r="L30" i="4" s="1"/>
  <c r="L33" i="4" s="1"/>
  <c r="L35" i="4" s="1"/>
  <c r="S24" i="30"/>
  <c r="P199" i="8"/>
  <c r="P145" i="8"/>
  <c r="P179" i="8"/>
  <c r="P40" i="17"/>
  <c r="P72" i="17" s="1"/>
  <c r="P44" i="14"/>
  <c r="O102" i="11"/>
  <c r="O119" i="11"/>
  <c r="P77" i="11"/>
  <c r="P37" i="18"/>
  <c r="P62" i="18" s="1"/>
  <c r="P98" i="13"/>
  <c r="P109" i="13"/>
  <c r="O199" i="6"/>
  <c r="P196" i="6"/>
  <c r="P176" i="6"/>
  <c r="P38" i="18"/>
  <c r="P63" i="18" s="1"/>
  <c r="P110" i="13"/>
  <c r="P99" i="13"/>
  <c r="P119" i="15"/>
  <c r="P75" i="15"/>
  <c r="P77" i="15"/>
  <c r="P194" i="14"/>
  <c r="P142" i="14"/>
  <c r="P174" i="14" s="1"/>
  <c r="P90" i="14"/>
  <c r="P122" i="14" s="1"/>
  <c r="P205" i="8"/>
  <c r="P185" i="8"/>
  <c r="P164" i="7"/>
  <c r="P147" i="7"/>
  <c r="N121" i="10"/>
  <c r="O90" i="10"/>
  <c r="N141" i="10"/>
  <c r="R9" i="30"/>
  <c r="O158" i="5"/>
  <c r="P9" i="4" l="1"/>
  <c r="Q9" i="4" s="1"/>
  <c r="D180" i="6" a="1"/>
  <c r="D180" i="6" s="1"/>
  <c r="P147" i="15"/>
  <c r="P164" i="15"/>
  <c r="O94" i="9"/>
  <c r="P73" i="9"/>
  <c r="P94" i="9" s="1"/>
  <c r="N125" i="11"/>
  <c r="N108" i="11"/>
  <c r="O83" i="11"/>
  <c r="P120" i="14"/>
  <c r="P134" i="14" s="1"/>
  <c r="P102" i="14"/>
  <c r="O103" i="9"/>
  <c r="O88" i="9"/>
  <c r="P67" i="9"/>
  <c r="P199" i="6"/>
  <c r="O141" i="10"/>
  <c r="O121" i="10"/>
  <c r="P90" i="10"/>
  <c r="N54" i="16"/>
  <c r="M64" i="16"/>
  <c r="R29" i="30"/>
  <c r="N126" i="11"/>
  <c r="O84" i="11"/>
  <c r="N109" i="11"/>
  <c r="N120" i="11"/>
  <c r="N103" i="11"/>
  <c r="O78" i="11"/>
  <c r="R20" i="30"/>
  <c r="O106" i="9"/>
  <c r="O91" i="9"/>
  <c r="P70" i="9"/>
  <c r="O108" i="9"/>
  <c r="N109" i="9"/>
  <c r="N92" i="9"/>
  <c r="N107" i="9"/>
  <c r="O71" i="9"/>
  <c r="P208" i="14"/>
  <c r="P206" i="14"/>
  <c r="O142" i="10"/>
  <c r="O122" i="10"/>
  <c r="P91" i="10"/>
  <c r="P110" i="11"/>
  <c r="P127" i="11"/>
  <c r="P171" i="15"/>
  <c r="P154" i="15"/>
  <c r="P168" i="15"/>
  <c r="P151" i="15"/>
  <c r="P148" i="10"/>
  <c r="P128" i="10"/>
  <c r="P81" i="12"/>
  <c r="P88" i="12" s="1"/>
  <c r="P71" i="12"/>
  <c r="O53" i="20"/>
  <c r="O54" i="20" s="1"/>
  <c r="O34" i="4" s="1"/>
  <c r="P46" i="20"/>
  <c r="P100" i="11"/>
  <c r="M96" i="9"/>
  <c r="M14" i="4" s="1"/>
  <c r="M17" i="4" s="1"/>
  <c r="N55" i="16"/>
  <c r="M65" i="16"/>
  <c r="N123" i="11"/>
  <c r="N106" i="11"/>
  <c r="O81" i="11"/>
  <c r="P166" i="7"/>
  <c r="N151" i="10"/>
  <c r="N131" i="10"/>
  <c r="O100" i="10"/>
  <c r="O107" i="11"/>
  <c r="O124" i="11"/>
  <c r="P82" i="11"/>
  <c r="P41" i="18"/>
  <c r="P66" i="18" s="1"/>
  <c r="P113" i="13"/>
  <c r="P169" i="15"/>
  <c r="P152" i="15"/>
  <c r="O66" i="9"/>
  <c r="N87" i="9"/>
  <c r="N75" i="9"/>
  <c r="N111" i="9" s="1"/>
  <c r="N102" i="9"/>
  <c r="O21" i="4"/>
  <c r="O23" i="4" s="1"/>
  <c r="S4" i="30"/>
  <c r="S6" i="30" s="1"/>
  <c r="O140" i="10"/>
  <c r="O120" i="10"/>
  <c r="P89" i="10"/>
  <c r="O155" i="15"/>
  <c r="O22" i="4" s="1"/>
  <c r="P54" i="14"/>
  <c r="P161" i="15"/>
  <c r="P144" i="15"/>
  <c r="P155" i="15" s="1"/>
  <c r="D156" i="15" s="1" a="1"/>
  <c r="D156" i="15" s="1"/>
  <c r="P130" i="15"/>
  <c r="P172" i="15" s="1"/>
  <c r="P193" i="8"/>
  <c r="D194" i="8" s="1" a="1"/>
  <c r="D194" i="8" s="1"/>
  <c r="R9" i="4" s="1"/>
  <c r="P112" i="12"/>
  <c r="P119" i="12" s="1"/>
  <c r="D120" i="12" s="1" a="1"/>
  <c r="D120" i="12" s="1"/>
  <c r="P101" i="12"/>
  <c r="N61" i="18"/>
  <c r="N72" i="18" s="1"/>
  <c r="N74" i="18" s="1"/>
  <c r="N29" i="4" s="1"/>
  <c r="N47" i="18"/>
  <c r="P149" i="7"/>
  <c r="N50" i="17"/>
  <c r="N68" i="17"/>
  <c r="N82" i="17" s="1"/>
  <c r="N84" i="17" s="1"/>
  <c r="N28" i="4" s="1"/>
  <c r="O105" i="11"/>
  <c r="O122" i="11"/>
  <c r="P80" i="11"/>
  <c r="M29" i="4"/>
  <c r="P119" i="10"/>
  <c r="P139" i="10"/>
  <c r="N124" i="10"/>
  <c r="O93" i="10"/>
  <c r="N144" i="10"/>
  <c r="S9" i="30"/>
  <c r="P158" i="5"/>
  <c r="N93" i="9"/>
  <c r="N110" i="9"/>
  <c r="O72" i="9"/>
  <c r="P43" i="12"/>
  <c r="P163" i="15"/>
  <c r="P146" i="15"/>
  <c r="R11" i="30"/>
  <c r="R15" i="30" s="1"/>
  <c r="R13" i="30"/>
  <c r="P69" i="9"/>
  <c r="O105" i="9"/>
  <c r="O90" i="9"/>
  <c r="O138" i="10"/>
  <c r="O118" i="10"/>
  <c r="P87" i="10"/>
  <c r="P88" i="15"/>
  <c r="P102" i="15"/>
  <c r="P113" i="15" s="1"/>
  <c r="N143" i="10"/>
  <c r="N123" i="10"/>
  <c r="N132" i="10" s="1"/>
  <c r="N15" i="4" s="1"/>
  <c r="O92" i="10"/>
  <c r="O127" i="10"/>
  <c r="P96" i="10"/>
  <c r="O147" i="10"/>
  <c r="O95" i="9"/>
  <c r="P74" i="9"/>
  <c r="P95" i="9" s="1"/>
  <c r="P97" i="13"/>
  <c r="P102" i="13" s="1"/>
  <c r="D103" i="13" s="1" a="1"/>
  <c r="D103" i="13" s="1"/>
  <c r="R10" i="4" s="1"/>
  <c r="S25" i="30"/>
  <c r="S29" i="30" s="1"/>
  <c r="S27" i="30"/>
  <c r="P57" i="16"/>
  <c r="P45" i="16"/>
  <c r="P148" i="15"/>
  <c r="P165" i="15"/>
  <c r="O145" i="10"/>
  <c r="O125" i="10"/>
  <c r="P94" i="10"/>
  <c r="O121" i="11"/>
  <c r="P79" i="11"/>
  <c r="O104" i="11"/>
  <c r="S10" i="30"/>
  <c r="P213" i="8"/>
  <c r="P102" i="11"/>
  <c r="P119" i="11"/>
  <c r="P104" i="9"/>
  <c r="P89" i="9"/>
  <c r="P62" i="11"/>
  <c r="P117" i="11" s="1"/>
  <c r="O73" i="11"/>
  <c r="O36" i="18"/>
  <c r="P98" i="10"/>
  <c r="O149" i="10"/>
  <c r="O129" i="10"/>
  <c r="P71" i="10"/>
  <c r="O85" i="10"/>
  <c r="O36" i="17"/>
  <c r="O146" i="10"/>
  <c r="O126" i="10"/>
  <c r="P95" i="10"/>
  <c r="N118" i="11"/>
  <c r="N101" i="11"/>
  <c r="N111" i="11" s="1"/>
  <c r="N16" i="4" s="1"/>
  <c r="O76" i="11"/>
  <c r="N86" i="11"/>
  <c r="N128" i="11" s="1"/>
  <c r="O150" i="10"/>
  <c r="O130" i="10"/>
  <c r="P99" i="10"/>
  <c r="P154" i="14"/>
  <c r="P179" i="14"/>
  <c r="P186" i="14" s="1"/>
  <c r="D187" i="14" s="1" a="1"/>
  <c r="D187" i="14" s="1"/>
  <c r="S19" i="30"/>
  <c r="S28" i="30" s="1"/>
  <c r="P113" i="8"/>
  <c r="S5" i="30" s="1"/>
  <c r="P142" i="5"/>
  <c r="S20" i="30"/>
  <c r="L17" i="4"/>
  <c r="N23" i="4"/>
  <c r="P149" i="10" l="1"/>
  <c r="P129" i="10"/>
  <c r="O61" i="18"/>
  <c r="O72" i="18" s="1"/>
  <c r="O74" i="18" s="1"/>
  <c r="O29" i="4" s="1"/>
  <c r="O47" i="18"/>
  <c r="P22" i="4"/>
  <c r="Q22" i="4" s="1"/>
  <c r="D114" i="15" a="1"/>
  <c r="D114" i="15" s="1"/>
  <c r="R22" i="4" s="1"/>
  <c r="P105" i="9"/>
  <c r="P90" i="9"/>
  <c r="O109" i="9"/>
  <c r="O107" i="9"/>
  <c r="O92" i="9"/>
  <c r="P71" i="9"/>
  <c r="M66" i="16"/>
  <c r="M68" i="16" s="1"/>
  <c r="M27" i="4" s="1"/>
  <c r="P124" i="11"/>
  <c r="P107" i="11"/>
  <c r="O123" i="11"/>
  <c r="O106" i="11"/>
  <c r="P81" i="11"/>
  <c r="P20" i="4"/>
  <c r="D89" i="12" a="1"/>
  <c r="D89" i="12" s="1"/>
  <c r="R20" i="4" s="1"/>
  <c r="R23" i="4" s="1"/>
  <c r="O120" i="11"/>
  <c r="O103" i="11"/>
  <c r="P78" i="11"/>
  <c r="O54" i="16"/>
  <c r="N64" i="16"/>
  <c r="O110" i="9"/>
  <c r="P72" i="9"/>
  <c r="O93" i="9"/>
  <c r="P146" i="10"/>
  <c r="P126" i="10"/>
  <c r="P10" i="4"/>
  <c r="Q10" i="4" s="1"/>
  <c r="D150" i="7" a="1"/>
  <c r="D150" i="7" s="1"/>
  <c r="P88" i="9"/>
  <c r="P103" i="9"/>
  <c r="P130" i="10"/>
  <c r="P150" i="10"/>
  <c r="S14" i="30"/>
  <c r="O68" i="17"/>
  <c r="O82" i="17" s="1"/>
  <c r="O84" i="17" s="1"/>
  <c r="O28" i="4" s="1"/>
  <c r="O50" i="17"/>
  <c r="P73" i="11"/>
  <c r="P36" i="18"/>
  <c r="P121" i="11"/>
  <c r="P104" i="11"/>
  <c r="P101" i="10"/>
  <c r="P152" i="10" s="1"/>
  <c r="P138" i="10"/>
  <c r="P118" i="10"/>
  <c r="S11" i="30"/>
  <c r="S15" i="30" s="1"/>
  <c r="S13" i="30"/>
  <c r="P105" i="11"/>
  <c r="P122" i="11"/>
  <c r="P140" i="10"/>
  <c r="P120" i="10"/>
  <c r="N96" i="9"/>
  <c r="N14" i="4" s="1"/>
  <c r="N17" i="4" s="1"/>
  <c r="P141" i="10"/>
  <c r="P121" i="10"/>
  <c r="P8" i="4"/>
  <c r="D143" i="5" a="1"/>
  <c r="D143" i="5" s="1"/>
  <c r="R8" i="4" s="1"/>
  <c r="R11" i="4" s="1"/>
  <c r="P127" i="10"/>
  <c r="P147" i="10"/>
  <c r="O87" i="9"/>
  <c r="O75" i="9"/>
  <c r="O111" i="9" s="1"/>
  <c r="O102" i="9"/>
  <c r="P66" i="9"/>
  <c r="P53" i="20"/>
  <c r="P54" i="20" s="1"/>
  <c r="P122" i="10"/>
  <c r="P142" i="10"/>
  <c r="P21" i="4"/>
  <c r="Q21" i="4" s="1"/>
  <c r="D135" i="14" a="1"/>
  <c r="D135" i="14" s="1"/>
  <c r="R21" i="4" s="1"/>
  <c r="P85" i="10"/>
  <c r="P36" i="17"/>
  <c r="P145" i="10"/>
  <c r="P125" i="10"/>
  <c r="O151" i="10"/>
  <c r="O131" i="10"/>
  <c r="P100" i="10"/>
  <c r="O125" i="11"/>
  <c r="O108" i="11"/>
  <c r="P83" i="11"/>
  <c r="P210" i="14"/>
  <c r="O118" i="11"/>
  <c r="O101" i="11"/>
  <c r="O111" i="11" s="1"/>
  <c r="O16" i="4" s="1"/>
  <c r="P76" i="11"/>
  <c r="O86" i="11"/>
  <c r="O128" i="11" s="1"/>
  <c r="O124" i="10"/>
  <c r="P93" i="10"/>
  <c r="O144" i="10"/>
  <c r="O143" i="10"/>
  <c r="P92" i="10"/>
  <c r="O123" i="10"/>
  <c r="O132" i="10" s="1"/>
  <c r="O15" i="4" s="1"/>
  <c r="O101" i="10"/>
  <c r="O152" i="10" s="1"/>
  <c r="P209" i="14"/>
  <c r="O55" i="16"/>
  <c r="N65" i="16"/>
  <c r="P91" i="9"/>
  <c r="P106" i="9"/>
  <c r="P108" i="9"/>
  <c r="O126" i="11"/>
  <c r="O109" i="11"/>
  <c r="P84" i="11"/>
  <c r="P34" i="4" l="1"/>
  <c r="Q34" i="4" s="1"/>
  <c r="D55" i="20" a="1"/>
  <c r="D55" i="20" s="1"/>
  <c r="R34" i="4" s="1"/>
  <c r="P143" i="10"/>
  <c r="P123" i="10"/>
  <c r="P110" i="9"/>
  <c r="P93" i="9"/>
  <c r="P23" i="4"/>
  <c r="Q23" i="4" s="1"/>
  <c r="Q20" i="4"/>
  <c r="M30" i="4"/>
  <c r="M33" i="4" s="1"/>
  <c r="M35" i="4" s="1"/>
  <c r="P109" i="9"/>
  <c r="P107" i="9"/>
  <c r="P92" i="9"/>
  <c r="P47" i="18"/>
  <c r="P61" i="18"/>
  <c r="P72" i="18" s="1"/>
  <c r="P74" i="18" s="1"/>
  <c r="N66" i="16"/>
  <c r="N68" i="16" s="1"/>
  <c r="N27" i="4" s="1"/>
  <c r="N30" i="4" s="1"/>
  <c r="N33" i="4" s="1"/>
  <c r="N35" i="4" s="1"/>
  <c r="P123" i="11"/>
  <c r="P106" i="11"/>
  <c r="P68" i="17"/>
  <c r="P82" i="17" s="1"/>
  <c r="P84" i="17" s="1"/>
  <c r="P50" i="17"/>
  <c r="P11" i="4"/>
  <c r="Q8" i="4"/>
  <c r="P54" i="16"/>
  <c r="P64" i="16" s="1"/>
  <c r="P66" i="16" s="1"/>
  <c r="P68" i="16" s="1"/>
  <c r="O64" i="16"/>
  <c r="P120" i="11"/>
  <c r="P103" i="11"/>
  <c r="P102" i="9"/>
  <c r="P87" i="9"/>
  <c r="P96" i="9" s="1"/>
  <c r="P75" i="9"/>
  <c r="P111" i="9" s="1"/>
  <c r="P144" i="10"/>
  <c r="P124" i="10"/>
  <c r="P132" i="10" s="1"/>
  <c r="P151" i="10"/>
  <c r="P131" i="10"/>
  <c r="O96" i="9"/>
  <c r="O14" i="4" s="1"/>
  <c r="O17" i="4" s="1"/>
  <c r="P108" i="11"/>
  <c r="P125" i="11"/>
  <c r="P55" i="16"/>
  <c r="P65" i="16" s="1"/>
  <c r="O65" i="16"/>
  <c r="P126" i="11"/>
  <c r="P109" i="11"/>
  <c r="P118" i="11"/>
  <c r="P101" i="11"/>
  <c r="P86" i="11"/>
  <c r="P128" i="11" s="1"/>
  <c r="P15" i="4" l="1"/>
  <c r="Q15" i="4" s="1"/>
  <c r="D133" i="10" a="1"/>
  <c r="D133" i="10" s="1"/>
  <c r="R15" i="4" s="1"/>
  <c r="P29" i="4"/>
  <c r="Q29" i="4" s="1"/>
  <c r="D75" i="18" a="1"/>
  <c r="D75" i="18" s="1"/>
  <c r="R29" i="4" s="1"/>
  <c r="Q11" i="4"/>
  <c r="P14" i="4"/>
  <c r="D97" i="9" a="1"/>
  <c r="D97" i="9" s="1"/>
  <c r="R14" i="4" s="1"/>
  <c r="P111" i="11"/>
  <c r="P28" i="4"/>
  <c r="Q28" i="4" s="1"/>
  <c r="D85" i="17" a="1"/>
  <c r="D85" i="17" s="1"/>
  <c r="R28" i="4" s="1"/>
  <c r="P27" i="4"/>
  <c r="O66" i="16"/>
  <c r="O68" i="16" s="1"/>
  <c r="O27" i="4" s="1"/>
  <c r="O30" i="4" s="1"/>
  <c r="O33" i="4" s="1"/>
  <c r="O35" i="4" s="1"/>
  <c r="Q14" i="4" l="1"/>
  <c r="D69" i="16" a="1"/>
  <c r="D69" i="16" s="1"/>
  <c r="R27" i="4" s="1"/>
  <c r="R30" i="4" s="1"/>
  <c r="R33" i="4" s="1"/>
  <c r="R35" i="4" s="1"/>
  <c r="P30" i="4"/>
  <c r="P33" i="4" s="1"/>
  <c r="P35" i="4" s="1"/>
  <c r="Q27" i="4"/>
  <c r="Q30" i="4" s="1"/>
  <c r="Q33" i="4" s="1"/>
  <c r="Q35" i="4" s="1"/>
  <c r="R17" i="4"/>
  <c r="P16" i="4"/>
  <c r="Q16" i="4" s="1"/>
  <c r="D112" i="11" a="1"/>
  <c r="D112" i="11" s="1"/>
  <c r="R16" i="4" s="1"/>
  <c r="P17" i="4" l="1"/>
  <c r="Q17"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8" authorId="0" shapeId="0" xr:uid="{00000000-0006-0000-1A00-000001000000}">
      <text>
        <r>
          <rPr>
            <sz val="10"/>
            <color rgb="FF000000"/>
            <rFont val="Calibri"/>
            <scheme val="minor"/>
          </rPr>
          <t>======
ID#AAAA-21lwtw
tc={6AEA8F3A-8FA8-499D-8E74-0C567F8FAB90}    (2023-10-26 18:36:08)
[Threaded comment]
Your version of Excel allows you to read this threaded comment; however, any edits to it will get removed if the file is opened in a newer version of Excel. Learn more: https://go.microsoft.com/fwlink/?linkid=870924
Comment:
    Higher in Stryker report</t>
        </r>
      </text>
    </comment>
  </commentList>
  <extLst>
    <ext xmlns:r="http://schemas.openxmlformats.org/officeDocument/2006/relationships" uri="GoogleSheetsCustomDataVersion2">
      <go:sheetsCustomData xmlns:go="http://customooxmlschemas.google.com/" r:id="rId1" roundtripDataSignature="AMtx7mhdYGfusagAkTUIiol8NuuC83AShA=="/>
    </ext>
  </extLst>
</comments>
</file>

<file path=xl/sharedStrings.xml><?xml version="1.0" encoding="utf-8"?>
<sst xmlns="http://schemas.openxmlformats.org/spreadsheetml/2006/main" count="4642" uniqueCount="593">
  <si>
    <t>Monetizing the Benefits of using Reprocessed Devices to Healthcare Delivery Systems</t>
  </si>
  <si>
    <t>Model Description</t>
  </si>
  <si>
    <t>The purpose of this model is to quantify the tangible and intangible benefits of switching from single-use devices to reprocessed devices . The monetization methodology is based on NYU Stern CSB's ROSI framework process explained in the infographic below. For our analysis we have interviewed key stakeholders from Healthcare Delivery Systems, collaborated with Advocate Health on a deepdive project, reviewed the available research, and developed a model to monetize the specific benefits. 
The model is intended for a Healthcare Delivery System to use as a tool for communicating reprocessing related financial benefits and for strategic planning purposes</t>
  </si>
  <si>
    <t>The ROSI™ Process</t>
  </si>
  <si>
    <t>Copyright © 2023 NYU Stern Center for Sustainable Business. All rights reserved.</t>
  </si>
  <si>
    <t>Instructions</t>
  </si>
  <si>
    <t xml:space="preserve">This workbook includes multiple tabs: 
A. Guidance on important considerations before switching to reprocessed devices
Separate tabs to capture costs and benefits
1a. Reduced procurement costs by device category for existing reprocessed portfolio
1b. Reduced procurement costs by device category for new reprocessed portfolio
2. Reduced waste disposal costs by device category
3. Reduced emissions
4. Improved supply chain resiliency 
5. Ongoing program support
B. Financial Benefits Summary - aggregates the financial results
</t>
  </si>
  <si>
    <t>Refer to the guidance tab for things to consider when starting a reprocessing program</t>
  </si>
  <si>
    <t>Use the "Inputs" table to input all data and assumptions for the calculations</t>
  </si>
  <si>
    <t>View the monetization calculations which are reflected in the numbered metric tabs</t>
  </si>
  <si>
    <t>View the Financial Benefits Summary tab which capture overall findings</t>
  </si>
  <si>
    <t>Introduction</t>
  </si>
  <si>
    <t>WILL BE UPDATED once case study is finalized</t>
  </si>
  <si>
    <t>In the U.S., reprocessing refers to the cleaning, testing, and repackaging of “single-use” medical devices that are regulated by the FDA so they may be returned for reuse. The reprocessing facility is also FDA approved.  A report to the Government Accountability Office found that use of approved reprocessed devices did not indicate an elevated health risk Source: Report on Reprocessed Single-Use Medical devices (GAO, 2008)</t>
  </si>
  <si>
    <t>Key considerations when switching from single-use to reprocessed devices</t>
  </si>
  <si>
    <t>Record response here</t>
  </si>
  <si>
    <t>User engagement</t>
  </si>
  <si>
    <t>1) Collaborate with the Supply chain team to understand reprocessed device availability as per the location, prices and other contractual terms and conditions</t>
  </si>
  <si>
    <t xml:space="preserve">2) List who needs to be involved in the decision making process to switch the devices (e.g. physicians, surgical staff and clinical staff teams, supply chain procurement teams). </t>
  </si>
  <si>
    <t>3) Make a diverse committee/appoint reprocessing champions Provide adequate education to get their buy-in. List the steps that will help</t>
  </si>
  <si>
    <t>Review procurement contracts</t>
  </si>
  <si>
    <t>1) Collaborate with the Supply chain team to understand the clauses that restrict outside purchases within Original Equipment Manufacturers (OEMs) contracts.  This is important to understand which devices maybe easier to prioritize in switching to reprocessed.</t>
  </si>
  <si>
    <t>2) Consider negotiating contracts and involve the Reprocessor’s representatives in parts of the negotiation process, if possible </t>
  </si>
  <si>
    <t>Setting reprocessing targets and goals</t>
  </si>
  <si>
    <t xml:space="preserve"> 1) Set goals and priorities for switching to reprocessed devices based on clinical feasibility for different time durations (1 year,3 and 5 years)</t>
  </si>
  <si>
    <t xml:space="preserve"> 2) Consider prioritizing devices where OEM is both manufacturer and reprocessor as it may be easier to navigate contractual barriers (if any) and logistics</t>
  </si>
  <si>
    <t xml:space="preserve"> 3) Another way of prioritizing devices is based on the per unit financial saving and emission reduction potential of devices.  </t>
  </si>
  <si>
    <t>Launch pilot projects</t>
  </si>
  <si>
    <t xml:space="preserve"> 1) Shortlist devices and launch pilot projects</t>
  </si>
  <si>
    <t xml:space="preserve"> 2) Track performance and identify reprocessed products to adopt </t>
  </si>
  <si>
    <t>Support collection mechanisms</t>
  </si>
  <si>
    <t xml:space="preserve"> 1) Place an adequate number of collection bins at convenient places and include appropriate signage</t>
  </si>
  <si>
    <t>2) Have third party/reprocessor manage the logistics of shipping collected items out of the hospital, where feasible</t>
  </si>
  <si>
    <t>Grow the product portfolio</t>
  </si>
  <si>
    <t>1) Consistent expansion of the program to switch more types of devices </t>
  </si>
  <si>
    <t>Collect and share data to demonstrate program's success</t>
  </si>
  <si>
    <t>1) Create dashboards that measure financial savings, environmental footprint, and share success of the program with the decision making staff on an ongoing basis</t>
  </si>
  <si>
    <t>Types of data that you will need to populate this model and potential sources for the data</t>
  </si>
  <si>
    <t>1) Total number of devices procured by type (OEM) - Group Purchasing Organization (GPO), Finance, Procurement</t>
  </si>
  <si>
    <t xml:space="preserve">2) Total number of devices procured by type (Reprocessed) - Finance, Reprocessors </t>
  </si>
  <si>
    <t>3) Prices of OEM devices - Finance, GPO records</t>
  </si>
  <si>
    <t>4) Prices of Reprocessed devices- Finance, Reprocessor records</t>
  </si>
  <si>
    <t>5) Waste disposal costs</t>
  </si>
  <si>
    <t xml:space="preserve">Key Performance Indicators to track </t>
  </si>
  <si>
    <t>1) Total reprocessed purchase as % of product purchase</t>
  </si>
  <si>
    <t>2) Total collections as % of total reprocessed purchase</t>
  </si>
  <si>
    <t>3) Median cost savings calculated using ROSI framework</t>
  </si>
  <si>
    <t>Resources</t>
  </si>
  <si>
    <t>1) Association of Medical Device Reprocessors</t>
  </si>
  <si>
    <t>https://amdr.org/</t>
  </si>
  <si>
    <t>2) Food &amp; Drug Administration</t>
  </si>
  <si>
    <t>fda.org</t>
  </si>
  <si>
    <t>ROSI™ Monetization Results for Reprocessing</t>
  </si>
  <si>
    <t>This sheet aggregates results from the individual data tabs. No direct data inputs are needed</t>
  </si>
  <si>
    <t>Data is illustrative other than specific research or other data provided</t>
  </si>
  <si>
    <t>Metric Calculations</t>
  </si>
  <si>
    <t>Actuals (Years)</t>
  </si>
  <si>
    <t>Projections (years)</t>
  </si>
  <si>
    <t>Average Annual Benefit</t>
  </si>
  <si>
    <t>Present Value</t>
  </si>
  <si>
    <t>Operating Cost Efficiency</t>
  </si>
  <si>
    <t>Reduced procurement costs (existing)</t>
  </si>
  <si>
    <t>Patient Care</t>
  </si>
  <si>
    <t>Surgical</t>
  </si>
  <si>
    <t>Vascular</t>
  </si>
  <si>
    <t>Sub-total</t>
  </si>
  <si>
    <t>Reduced procurement costs (new)</t>
  </si>
  <si>
    <t>Reduced waste disposal costs</t>
  </si>
  <si>
    <t>Risk Management</t>
  </si>
  <si>
    <t>Reduced emissions</t>
  </si>
  <si>
    <t>Reduced risk of supply disruption</t>
  </si>
  <si>
    <t>Gross Total Benefits</t>
  </si>
  <si>
    <t xml:space="preserve">Less: Program Costs </t>
  </si>
  <si>
    <t>Net Benefits</t>
  </si>
  <si>
    <t>ROSI™ Monetization for Reprocessing</t>
  </si>
  <si>
    <t xml:space="preserve">Input data in Cells in blue font </t>
  </si>
  <si>
    <t>Data is illustrative other than specific research and other data provided</t>
  </si>
  <si>
    <t>Use this sheet to calculate the procurement cost savings from the existing and expected reprocessed device purchase portfolio</t>
  </si>
  <si>
    <t>Reduced Procurment Costs - Existing Reprocessed Portfolio</t>
  </si>
  <si>
    <t>Financial Benefit</t>
  </si>
  <si>
    <t>Switching single use devices with reprocessed devices can potentially lead to saving in procurement costs</t>
  </si>
  <si>
    <t>Methodology &amp; Assumptions</t>
  </si>
  <si>
    <t>Estimate the total number of reprocessed products bought in the year by category of product. Calculate the cost differential between a new product sourced from an OEM and a reprocessed product.  Multiply the number of reprocessed products sourced with the cost differential to estimate the total savings. Add any additional rebates given by reprocessor and/or reduce any penalties imposed by OEMs (due to losing volume discounts etc.)</t>
  </si>
  <si>
    <t>Sources</t>
  </si>
  <si>
    <t>For product listing: https://amdr.org/product/</t>
  </si>
  <si>
    <t>Inputs</t>
  </si>
  <si>
    <t>Values</t>
  </si>
  <si>
    <t>Guidance</t>
  </si>
  <si>
    <t>Actual procurement of patient care/non invasive items (total)</t>
  </si>
  <si>
    <t>Year 1</t>
  </si>
  <si>
    <t>Year 2</t>
  </si>
  <si>
    <t>Year 3</t>
  </si>
  <si>
    <t>Enter actual procurement of items for the last 3 years or since the reprocessing program began, whichever is earlier</t>
  </si>
  <si>
    <t>Fall Alarms</t>
  </si>
  <si>
    <t>#</t>
  </si>
  <si>
    <t>Compression Devices</t>
  </si>
  <si>
    <t>Pulse Oximeters</t>
  </si>
  <si>
    <t>ECG Leads and Cables</t>
  </si>
  <si>
    <t>Pressure Infusion Bags</t>
  </si>
  <si>
    <t>Blood Pressure Cuffs &amp; Tourniquet Cuffs</t>
  </si>
  <si>
    <t>Air transfer/Lateral Transfer Mats/Hovermats</t>
  </si>
  <si>
    <t>Tourniquets</t>
  </si>
  <si>
    <t>Sequential compression devices/DVT sleeves</t>
  </si>
  <si>
    <t>Others (products not included above)</t>
  </si>
  <si>
    <t>Actual procurement of patient care/non invasive items (reprocessed)</t>
  </si>
  <si>
    <t xml:space="preserve">Prices patient care/non invasive items (new device/OEM)  </t>
  </si>
  <si>
    <t>Enter actual procurement price of items for the last 3 years or since the reprocessing program began, whichever is shorter</t>
  </si>
  <si>
    <t xml:space="preserve">Prices patient care/non invasive items (reprocessed) </t>
  </si>
  <si>
    <t>Expected annual growth in volume of total device purchases</t>
  </si>
  <si>
    <t>%</t>
  </si>
  <si>
    <t>Input a value of the expected annual growth in device procurement volumes in the future</t>
  </si>
  <si>
    <t>Expected annual change in price of new devices</t>
  </si>
  <si>
    <t>Input a value of the expected annual price growth in the future</t>
  </si>
  <si>
    <t>Expected annual growth in total reprocessed device purchases (H/M/L)</t>
  </si>
  <si>
    <t>High</t>
  </si>
  <si>
    <t>Select an option on how you expect the reprocessing portfolio to grow</t>
  </si>
  <si>
    <t>Expected annual increase in total reprocessed device purchases (%)</t>
  </si>
  <si>
    <t>Calculated</t>
  </si>
  <si>
    <t>Input a value that represents a high growth scenario for your organization</t>
  </si>
  <si>
    <t>Medium</t>
  </si>
  <si>
    <t>Input a value that represents a medium growth scenario for your organization</t>
  </si>
  <si>
    <t>Low</t>
  </si>
  <si>
    <t>Input a value that represents a low growth scenario for your organization</t>
  </si>
  <si>
    <t>Average rebate (as % of sales amount) given by reprocessor</t>
  </si>
  <si>
    <t>Input the average rebate % over sales amount given by a reprocessor</t>
  </si>
  <si>
    <t>Expected annual change in price of reprocessed items</t>
  </si>
  <si>
    <t>Input a value of how much the savings on reprocessed goods could increase</t>
  </si>
  <si>
    <t>Cost of Capital/Discounting Factor</t>
  </si>
  <si>
    <t>Enter the weighted average cost of capital or the internal rate of return to evaulate investment decisions</t>
  </si>
  <si>
    <t>Actuals</t>
  </si>
  <si>
    <t>Projections</t>
  </si>
  <si>
    <t>Actual &amp; Expected procurement of patient care items (total)</t>
  </si>
  <si>
    <t xml:space="preserve">Average OEM procurement price </t>
  </si>
  <si>
    <t>Total procurement of reprocessed patient care items</t>
  </si>
  <si>
    <t xml:space="preserve">Average reprocessed procurement price </t>
  </si>
  <si>
    <t>Average procurement unit cost savings (OEM Price Less Reprocessed Price)</t>
  </si>
  <si>
    <t>Average savings in reprocessing program (including rebates received from suppliers)</t>
  </si>
  <si>
    <t>Present Value of Final Benefit</t>
  </si>
  <si>
    <t>US$</t>
  </si>
  <si>
    <t>Reprocessed Purchase as % of total product type purchase</t>
  </si>
  <si>
    <t>Category total</t>
  </si>
  <si>
    <t>Cells in blue font are data inputs</t>
  </si>
  <si>
    <t>Reduced Product Costs</t>
  </si>
  <si>
    <t>Value</t>
  </si>
  <si>
    <t>Actual procurement of surgical care (total)</t>
  </si>
  <si>
    <t>Pneumatic Tourniquet Cuffs</t>
  </si>
  <si>
    <t>Suture Passers</t>
  </si>
  <si>
    <t>Ligasures</t>
  </si>
  <si>
    <t>Hysteroscopic Tissue Removal</t>
  </si>
  <si>
    <t>Ultrasonic Scalpels</t>
  </si>
  <si>
    <t>Arthroscopic instruments</t>
  </si>
  <si>
    <t>Laparoscopic instruments</t>
  </si>
  <si>
    <t>Burrs / Bits / Blades</t>
  </si>
  <si>
    <t>Trocars</t>
  </si>
  <si>
    <t>Tissue Sealing Device</t>
  </si>
  <si>
    <t>External Fixation</t>
  </si>
  <si>
    <t>Scissor Tips</t>
  </si>
  <si>
    <t>Endoscopic accessories</t>
  </si>
  <si>
    <t>Carpal Tunnel Release</t>
  </si>
  <si>
    <t>Actual procurement of surgical care (reprocessed)</t>
  </si>
  <si>
    <t xml:space="preserve">Prices surgical care (new device/OEM)  </t>
  </si>
  <si>
    <t xml:space="preserve">Prices surgical care (reprocessed) </t>
  </si>
  <si>
    <t>Actual &amp; Expected procurement of surgical care items (total)</t>
  </si>
  <si>
    <t>Total procurement of reprocessed surgical items</t>
  </si>
  <si>
    <t>Actual procurement of vascular care (total)</t>
  </si>
  <si>
    <t>EP Catheters</t>
  </si>
  <si>
    <t>ICE Catheters</t>
  </si>
  <si>
    <t>Ultrasound Catheters</t>
  </si>
  <si>
    <t>I</t>
  </si>
  <si>
    <t>Intravascular Catheters</t>
  </si>
  <si>
    <t>Mapping Catheters</t>
  </si>
  <si>
    <t>Coronary Sinus Catheters</t>
  </si>
  <si>
    <t>EP Cables</t>
  </si>
  <si>
    <t>Catheter Introducer Sheaths</t>
  </si>
  <si>
    <t>Ablation Catheter</t>
  </si>
  <si>
    <t>TransSeptal Needles</t>
  </si>
  <si>
    <t>Radiofrequency Catheter</t>
  </si>
  <si>
    <t>Actual procurement of vascular care (reprocessed)</t>
  </si>
  <si>
    <t xml:space="preserve">Prices vascular care (new device/OEM)  </t>
  </si>
  <si>
    <t xml:space="preserve">Prices vascular care (reprocessed) </t>
  </si>
  <si>
    <t>Actual &amp; Expected procurement of vascular care items (total)</t>
  </si>
  <si>
    <t>Total procurement of reprocessed vascular items</t>
  </si>
  <si>
    <t>Advocate Health ROSI™ Monetization</t>
  </si>
  <si>
    <t>Cells in blue are inputs</t>
  </si>
  <si>
    <t>Purchasing reprocessed medical products (including devices, leads etc.) instead of new (single use) products leads to saving in procurement costs</t>
  </si>
  <si>
    <t>Assumptions</t>
  </si>
  <si>
    <t>1) Assumed that a small quantity of Burrs/Bits/Blades will still be procured as reprocessed from other reprocessors (discontinued by Stryker)</t>
  </si>
  <si>
    <t>Source</t>
  </si>
  <si>
    <t>Expected annual growth in total device purchases</t>
  </si>
  <si>
    <t>Assumption based on annual device purchase growth in 2022 (value) ( https://www.advocateaurorahealth.org/pdfs/financialinformation/audited_financial_statements.pdf)</t>
  </si>
  <si>
    <t>Calculated 2 year CAGR of Average category price</t>
  </si>
  <si>
    <t xml:space="preserve">Assumption </t>
  </si>
  <si>
    <t>Assumption</t>
  </si>
  <si>
    <t xml:space="preserve">Calculated 2 year CAGR of average prices </t>
  </si>
  <si>
    <t>Average rebate given by reprocessor</t>
  </si>
  <si>
    <t>Assumption based on discussion with Sydney Nelson, Procurement Manager</t>
  </si>
  <si>
    <t>Actual procurement of surgical items (reprocessed)</t>
  </si>
  <si>
    <t>Reprocessing program results AAH</t>
  </si>
  <si>
    <t>Arthroscopic</t>
  </si>
  <si>
    <t>Laparoscopic</t>
  </si>
  <si>
    <t>sub-total</t>
  </si>
  <si>
    <t>Reprocessed prices of surgical items</t>
  </si>
  <si>
    <t>$</t>
  </si>
  <si>
    <t>New device prices surgical items</t>
  </si>
  <si>
    <t>Savings on surgical items</t>
  </si>
  <si>
    <t>Advocate (2021)</t>
  </si>
  <si>
    <t>Industry</t>
  </si>
  <si>
    <t>NA</t>
  </si>
  <si>
    <t>Industry data is Myosure Tissue removal device mostly</t>
  </si>
  <si>
    <t>Average taken</t>
  </si>
  <si>
    <t>Actual procurement of surgical and vascular items (total)</t>
  </si>
  <si>
    <t>Total device procurement by quantity and base spend</t>
  </si>
  <si>
    <t>Total procurement of reprocessed surgical (S) items (reprocessed)</t>
  </si>
  <si>
    <t>Total procurement of reprocessed vascular (V) items (reprocessed)</t>
  </si>
  <si>
    <t>S&amp;V Reprocessed as % of total S&amp;V device purchase</t>
  </si>
  <si>
    <t>Actual &amp; Expected procurement of surgical items (total)</t>
  </si>
  <si>
    <t>Average procurement price (OEM devices)</t>
  </si>
  <si>
    <t>Total procurement of reprocessed items</t>
  </si>
  <si>
    <t xml:space="preserve">Average reprocessor procurement price </t>
  </si>
  <si>
    <t>Average savings in reprocessing program (price and rebate)</t>
  </si>
  <si>
    <t>Reprocessed Purchased as % of total</t>
  </si>
  <si>
    <t>Category Total</t>
  </si>
  <si>
    <t>Use this sheet to calculate the procurement cost savings from new reprocessed device purchase portfolio</t>
  </si>
  <si>
    <t>Switching single use devices with reprocessed devices can potentially lead to saving in procurement costs-new devices being added</t>
  </si>
  <si>
    <t>Estimate the total number of products bought in the year by category of product. Consider how much of this can be converted to reprocessed purchases. Input an average savings per product category (i.e. difference in price between new vs. reprocessed).  Multiply the number of reprocessed products sourced with the per  unit savings to estimate the total savings. Add any additional rebates given by reprocessor and/or reduce any penalties imposed by OEMs (due to losing volume discounts etc.)</t>
  </si>
  <si>
    <t>Current Year</t>
  </si>
  <si>
    <t xml:space="preserve">Enter actual procurement of total items for the current year </t>
  </si>
  <si>
    <t>Expected share of reprocessed patient care/non invasive items as % of total procurement</t>
  </si>
  <si>
    <t>Enter an estimate of the % of total devices that can be purchased as reprocessed (enter a value in any one year per each product type)</t>
  </si>
  <si>
    <t>Savings per unit of patient care/non invasive items (new price vs. reprocessed price)</t>
  </si>
  <si>
    <t>Average savings as a % of new device price in 2021 based on observed/industry data</t>
  </si>
  <si>
    <t>Category average saving %</t>
  </si>
  <si>
    <t>Expected annual growth in total number of device purchases</t>
  </si>
  <si>
    <t>Select an option on likely growth</t>
  </si>
  <si>
    <t>Expected annual change in savings from reprocessed items</t>
  </si>
  <si>
    <t>Input the weighted average cost of capital or the internal rate of return to evaulate investment decisions</t>
  </si>
  <si>
    <t>Average savings in reprocessing program</t>
  </si>
  <si>
    <t>Present Year</t>
  </si>
  <si>
    <t>Exected share of reprocessed surgical care as % of total procurement</t>
  </si>
  <si>
    <t>Savings per unit of surgical care (new price vs. reprocessed price)</t>
  </si>
  <si>
    <t>Category Average Saving applied</t>
  </si>
  <si>
    <t xml:space="preserve">Input the weighted average cost of capital or the internal rate of return </t>
  </si>
  <si>
    <t>Total procurement of reprocessed surgical care items</t>
  </si>
  <si>
    <t>Actual procurement of vascular care items (total)</t>
  </si>
  <si>
    <t xml:space="preserve">Enter actual procurement number of total items for the current year </t>
  </si>
  <si>
    <t>Exected share of reprocessed vascular care items as % of total procurement</t>
  </si>
  <si>
    <t>Savings per unit of vascular care (new price vs. reprocessed price)</t>
  </si>
  <si>
    <t>Enter a value of the expected annual growth in device procurement volumes in the future</t>
  </si>
  <si>
    <t>Enter a value that represents a high growth scenario for your organization</t>
  </si>
  <si>
    <t>Enter a value that represents a medium growth scenario for your organization</t>
  </si>
  <si>
    <t>Enter a value that represents a low growth scenario for your organization</t>
  </si>
  <si>
    <t>Enter a value of how much the savings on reprocessed goods could increase</t>
  </si>
  <si>
    <t>Enter the weighted average cost of capital or the internal rate of return</t>
  </si>
  <si>
    <t>Total procurement of reprocessed vascular care items</t>
  </si>
  <si>
    <t>Healthcare Delivery System ROSI™ Monetization</t>
  </si>
  <si>
    <t>Reduced Waste Disposal Costs</t>
  </si>
  <si>
    <t>Collecting used devices and sending them for reprocessing instead of discarding them after use, reduces the amount of waste generated at the hospital site leading to saving in waste disposal costs</t>
  </si>
  <si>
    <t>Methodology and Assumptions</t>
  </si>
  <si>
    <t>Estimate the total weight of the products collected and sent for reprocessing on an annual basis. Multiply the weight by the average cost of waste disposal of the suitable category (e.g. red bag waste). Add any collection credit given by a reprocessor for the number of items collected</t>
  </si>
  <si>
    <t>Total collection of reprocessed patient care items</t>
  </si>
  <si>
    <t>Enter the actual number of devices collected for reprocessing over the past 3 years or as available</t>
  </si>
  <si>
    <t>Average weight of product</t>
  </si>
  <si>
    <t>lb</t>
  </si>
  <si>
    <t>Enter an average weight per lb of all products collected for reprocessing or use the industry average provided</t>
  </si>
  <si>
    <t>Average cost of waste disposal</t>
  </si>
  <si>
    <t>Enter an average cost of waste disposal per lb  or use the industry average provided</t>
  </si>
  <si>
    <t>Average collection credit</t>
  </si>
  <si>
    <t>Enter an average collection credit  or use the industry average provided</t>
  </si>
  <si>
    <t>Annual expected growth in reprocessed collection</t>
  </si>
  <si>
    <t>Pick the scenario that describes your organization's collection goal</t>
  </si>
  <si>
    <t>Annual expected % of reprocessed collection as % of total purchase (% terms)</t>
  </si>
  <si>
    <t>Enter a value that represents a high growth scenario for your organization's collection efforts</t>
  </si>
  <si>
    <t>Cost of Capital/Discounting factor</t>
  </si>
  <si>
    <t>Weighted average cost of capital or the internal rate of return to evaulate investment decisions</t>
  </si>
  <si>
    <t>Actual &amp; Expected procurement of total (new and reprocessed) items</t>
  </si>
  <si>
    <t>Blood Pressure Cuffs</t>
  </si>
  <si>
    <t>Lateral Transfer Mats</t>
  </si>
  <si>
    <t>Average Weight of product</t>
  </si>
  <si>
    <t>Average waste diverted in reprocessing program</t>
  </si>
  <si>
    <t>lbs</t>
  </si>
  <si>
    <t>Average cost avoidance with waste diversion in reprocessing program</t>
  </si>
  <si>
    <t>Average collection credit received in reprocessing program</t>
  </si>
  <si>
    <t xml:space="preserve">Collection % of total </t>
  </si>
  <si>
    <t>Expected annual growth in total vascular device purchases</t>
  </si>
  <si>
    <t>Assumption (Annual Report)</t>
  </si>
  <si>
    <t xml:space="preserve">Calculated 2 year CAGR of average category price </t>
  </si>
  <si>
    <t>Annual expected increase in price of reprocessed items</t>
  </si>
  <si>
    <t>Diagnostic electrophysiology (EP) catheters</t>
  </si>
  <si>
    <t>Actual procurement of vascular items (reprocessed)</t>
  </si>
  <si>
    <t>Ultrasound catheters</t>
  </si>
  <si>
    <t>Intra-cardiac echocardiography catheters</t>
  </si>
  <si>
    <t>Intravascular catheters</t>
  </si>
  <si>
    <t>Mapping catheters</t>
  </si>
  <si>
    <t>Coronary sinus catheters</t>
  </si>
  <si>
    <t>EP cables</t>
  </si>
  <si>
    <t>Introducer sheaths</t>
  </si>
  <si>
    <t>Ablation catheter</t>
  </si>
  <si>
    <t>Transseptal needles</t>
  </si>
  <si>
    <t>Total procurement of reprocessed surgical items (reprocessed)</t>
  </si>
  <si>
    <t>Radiofrequency catheter</t>
  </si>
  <si>
    <t>Total procurement of reprocessed vascular items (reprocessed)</t>
  </si>
  <si>
    <t>Reprocessed as % of total device purchase</t>
  </si>
  <si>
    <t>Actual procurement of vascular items (reprocessed prices)</t>
  </si>
  <si>
    <t/>
  </si>
  <si>
    <t>Average</t>
  </si>
  <si>
    <t>Actual procurement of vascular items (new prices)</t>
  </si>
  <si>
    <t>Savings on vascular items</t>
  </si>
  <si>
    <t>AMDR data set</t>
  </si>
  <si>
    <t>Difference</t>
  </si>
  <si>
    <t>Actual &amp; Expected procurement of items (total)</t>
  </si>
  <si>
    <t>Collecting used medical devices and transporting them back to the reprocessor may reduce the amount of waste generated at the hospital site leading to saving in waste disposal costs and generate income through collection credits.</t>
  </si>
  <si>
    <t>Estimate the total weight of the products collected and sent for reprocessing on an annual basis. Multiply the weight by the average cost of waste disposal of the suitable category (e.g. red bag waste). Add any collection credit given by a reprocessor for the number of items collected.</t>
  </si>
  <si>
    <t>Total collection of reprocessed surgical items</t>
  </si>
  <si>
    <t>Annual expected growth in reprocessed collection (% terms)</t>
  </si>
  <si>
    <t>Discounting factor</t>
  </si>
  <si>
    <t>Average collection credit in reprocessing program</t>
  </si>
  <si>
    <t>Collections as % of total</t>
  </si>
  <si>
    <t>Total collection of reprocessed vascular items</t>
  </si>
  <si>
    <t>$ per lb</t>
  </si>
  <si>
    <t>Collections as % of total purchases</t>
  </si>
  <si>
    <t>Reduced Emissions</t>
  </si>
  <si>
    <t>Switching single use devices with reprocessed medical devices leads to lower emissions</t>
  </si>
  <si>
    <t>Obtain Life Cycle Assessment (LCA) studies if available or commission LCAs that provide the environmental footprint of the different category of devices. Using the findings, quantify the difference between the environmental footprint per device/category type. Multiply this difference by the total number of reprocessed devices purchased to estimate the average emissions avoided on an annual basis. Multiply the total avoided emissions by an internal price of carbon or price of carbon offset if being purchased to quantify the total cost savings</t>
  </si>
  <si>
    <t xml:space="preserve">Average Emission Reduction </t>
  </si>
  <si>
    <t>ViewFlex (Vascular)</t>
  </si>
  <si>
    <t>Kg.Co2 eq.</t>
  </si>
  <si>
    <t xml:space="preserve">Enter an estimate of product related emissions, if available.  Entered values are based on external research sourced from Life Cycle Assessment Studies conducted by Stryker Solutions. </t>
  </si>
  <si>
    <t>HARH 36</t>
  </si>
  <si>
    <t>LF 2019</t>
  </si>
  <si>
    <t>MysoSure REACH</t>
  </si>
  <si>
    <t>Max-A (patient care)</t>
  </si>
  <si>
    <t>Cost of Carbon</t>
  </si>
  <si>
    <t>$ per ton</t>
  </si>
  <si>
    <t>Input an internal price of carbon or price of a carbon offset or use the values provided</t>
  </si>
  <si>
    <t>https://about.bnef.com/blog/carbon-offset-prices-could-increase-fifty-fold-by-2050/</t>
  </si>
  <si>
    <t>Social Cost of Carbon: Supplementary Material for the Regulatory Impact Analysis for the Supplemental Proposed Rulemaking, “Standards of Performance for New, Reconstructed, and Modified Sources and Emissions Guidelines for Existing Sources: Oil and Natural Gas Sector Climate Review”</t>
  </si>
  <si>
    <t>Actual &amp; Expected procurement of total (new and existing reprocessed) items</t>
  </si>
  <si>
    <t>Average Emission Reduction Benefit on reprocessed purchases</t>
  </si>
  <si>
    <t>Average emission avoidance with reprocessing program</t>
  </si>
  <si>
    <t>Social cost of carbon</t>
  </si>
  <si>
    <t>Total value of avoided carbon</t>
  </si>
  <si>
    <t>Methodology</t>
  </si>
  <si>
    <t>HARH 36 (Ultrasonic scalpel surgical)</t>
  </si>
  <si>
    <t>LF 2019 (Ligasure - surgical)</t>
  </si>
  <si>
    <t>MysoSure REACH (Tissue removal - surgical)</t>
  </si>
  <si>
    <t>Input an internal price of carbon or price of carbon offsets or use the values provided</t>
  </si>
  <si>
    <t>Average Emission Reduction Benefit on reprocessed purchases per item</t>
  </si>
  <si>
    <t>Obtain Life Cycle Assessment (LCA) studies if available or commission LCAs that provide the environmental footprint of the different category of devices. Using the findings, quantify the difference between the environmental footprint per device/category type. Multiply this difference by the total number of reprocessed devices purchased to estimate the average emissions avoided on an annual basis. Multiply the total avoided emissions by an internal price of carbon/price of carbon offset if being purchased, as suitable to your organization to quantify the total cost savings</t>
  </si>
  <si>
    <t>Input an internal price of carbon or price of carbon offsets or or use the values provided</t>
  </si>
  <si>
    <t>Cost of Capital</t>
  </si>
  <si>
    <t>Improved Supply Resiliency</t>
  </si>
  <si>
    <t>Using reprocessed medical devices instead of OEM/single use medical devices may improve supply chain resiliency</t>
  </si>
  <si>
    <t xml:space="preserve">Estimate the probability of occurrence and the severity of costs of a device supply chain disruption event. Applying an attribution factor for reprocessing, estimate how much of this risk can be avoided by having an alternate supply source. </t>
  </si>
  <si>
    <t>Probability of a supply chain disruption event in the Medtech supply chain</t>
  </si>
  <si>
    <r>
      <rPr>
        <sz val="12"/>
        <color theme="10"/>
        <rFont val="Arial"/>
      </rPr>
      <t>External research estimates probability at once in 3.7 years</t>
    </r>
    <r>
      <rPr>
        <u/>
        <sz val="12"/>
        <color theme="10"/>
        <rFont val="Arial"/>
      </rPr>
      <t xml:space="preserve">
Sources: 1) https://www.mckinsey.com/capabilities/operations/our-insights/the-resilience-imperative-for-medtech-supply-chains
2) https://www2.deloitte.com/us/en/insights/industry/health-care/healthcare-supply-chain.html</t>
    </r>
  </si>
  <si>
    <t>Length of time the disruption is expected to last</t>
  </si>
  <si>
    <t>months</t>
  </si>
  <si>
    <t>External research estimated as above</t>
  </si>
  <si>
    <t>Average increase in costs during a suppply chain disruption event</t>
  </si>
  <si>
    <r>
      <rPr>
        <u/>
        <sz val="12"/>
        <color rgb="FF000000"/>
        <rFont val="Arial"/>
      </rPr>
      <t xml:space="preserve">External research estimate: </t>
    </r>
    <r>
      <rPr>
        <u/>
        <sz val="12"/>
        <color rgb="FF0070C0"/>
        <rFont val="Arial"/>
      </rPr>
      <t>https://www.aha.org/guidesreports/2023-04-20-2022-costs-caring</t>
    </r>
  </si>
  <si>
    <t>Average annual medical device spends (3 year average)</t>
  </si>
  <si>
    <t xml:space="preserve">Enter an average annual medical device spend </t>
  </si>
  <si>
    <t>Average annual medical device quantity procured (3 year average)</t>
  </si>
  <si>
    <t>Enter average annual medical device quantity</t>
  </si>
  <si>
    <t>Total Reprocessed device purchases (3 year average)</t>
  </si>
  <si>
    <t>Enter an average annual medical device quantity</t>
  </si>
  <si>
    <t>Reprocessed purchase as % of total purchases</t>
  </si>
  <si>
    <t>Reprocessing's attribution to resiliency</t>
  </si>
  <si>
    <t>Input an estimate of how much reprocessing (having an alternate supply source) helps build resiliency</t>
  </si>
  <si>
    <t>Reprocessing's attribution to resiliency (%)</t>
  </si>
  <si>
    <t>Enter a Low/Medium/High estimate of how much reprocessing (having an alternate supply source) contributes to resiliency</t>
  </si>
  <si>
    <t>Number of months in a year</t>
  </si>
  <si>
    <t>Annual medical device spends</t>
  </si>
  <si>
    <t>Annual medical device spends (2019-2021 average)</t>
  </si>
  <si>
    <t>Monthly medical device spend (2019-2021 average)</t>
  </si>
  <si>
    <t>Extent of spend at risk of disruption</t>
  </si>
  <si>
    <t>Possible Incremental cost due to disruption</t>
  </si>
  <si>
    <t>Probability adjusted spend at risk of disruption</t>
  </si>
  <si>
    <t>Incremental cost avoided by purchasing reprocessed</t>
  </si>
  <si>
    <t>Operational Costs</t>
  </si>
  <si>
    <t>Cost</t>
  </si>
  <si>
    <t>Estimate ongoing operational costs of the reprocessing program</t>
  </si>
  <si>
    <t>Estimate costs of creating signage material to display onsite, staff time allocation to train staff/issue reminders;  time allocation for negotiating reprocessing contracts and to manage shipping/collection logistics when not provided by the reprocessor</t>
  </si>
  <si>
    <t>Material for ongoing staff education</t>
  </si>
  <si>
    <t>Signage boards and other display material</t>
  </si>
  <si>
    <t>Input an estimated annual cost of signage and other material</t>
  </si>
  <si>
    <t>Time allocation to train staff/issue reminders</t>
  </si>
  <si>
    <t>Monthly staff time</t>
  </si>
  <si>
    <t>hour</t>
  </si>
  <si>
    <t>Input estimated effort in staff hours per month</t>
  </si>
  <si>
    <t>Conversion to annual time</t>
  </si>
  <si>
    <t>Average staff salary</t>
  </si>
  <si>
    <t>$ per hour</t>
  </si>
  <si>
    <t xml:space="preserve">Input hourly staff salary </t>
  </si>
  <si>
    <t xml:space="preserve">Number of staff per hospital </t>
  </si>
  <si>
    <t>Input # of staff required per hospital for the training/issuing reminder</t>
  </si>
  <si>
    <t>Number of hospitals</t>
  </si>
  <si>
    <t>Input # of hospital sites where reprocessing program runs or will run</t>
  </si>
  <si>
    <t>Training time</t>
  </si>
  <si>
    <t>Annual staff time</t>
  </si>
  <si>
    <t>Input estimated effort in staff hours per year</t>
  </si>
  <si>
    <t>Nurses, EVS Manager</t>
  </si>
  <si>
    <t>Time allocation for negotiating reprocessing contracts</t>
  </si>
  <si>
    <t>Applicable for months in a year</t>
  </si>
  <si>
    <t xml:space="preserve">Input # months in a year </t>
  </si>
  <si>
    <t>Procurement Staff</t>
  </si>
  <si>
    <t>Legal Staff</t>
  </si>
  <si>
    <t xml:space="preserve">Number of staff </t>
  </si>
  <si>
    <t>Input estimated # staff involved</t>
  </si>
  <si>
    <t>Time allocation to manage shipping/collection logistics</t>
  </si>
  <si>
    <t>Number of hospitals (where reprocessor does not manage collections)</t>
  </si>
  <si>
    <t xml:space="preserve">Input # hospitals where reprocessor does not manage collections </t>
  </si>
  <si>
    <t>Annual increase in staff salary/other costs</t>
  </si>
  <si>
    <t>Input an estimate of annual salary increment</t>
  </si>
  <si>
    <t xml:space="preserve">Input internal cost </t>
  </si>
  <si>
    <t>Ongoing program costs</t>
  </si>
  <si>
    <t>Material Costs</t>
  </si>
  <si>
    <t>Labor costs</t>
  </si>
  <si>
    <t>Train staff/issue reminders</t>
  </si>
  <si>
    <t>Total labor costs</t>
  </si>
  <si>
    <t>Total material and labor costs</t>
  </si>
  <si>
    <t>Present Value of Costs</t>
  </si>
  <si>
    <t>Ice Catheter-V</t>
  </si>
  <si>
    <t>Ligasure-S</t>
  </si>
  <si>
    <t>Hysteroscopic Tissue Removal- S</t>
  </si>
  <si>
    <t>Pulse Ox- PC</t>
  </si>
  <si>
    <t>View Flex</t>
  </si>
  <si>
    <t>HARH36</t>
  </si>
  <si>
    <t>LF2019</t>
  </si>
  <si>
    <t>MyoSure REACH</t>
  </si>
  <si>
    <t>Max-A</t>
  </si>
  <si>
    <t>https://www.ncbi.nlm.nih.gov/pmc/articles/PMC6267293/</t>
  </si>
  <si>
    <t>https://www.transparencymarketresearch.com/reprocessed-medical-devices.html</t>
  </si>
  <si>
    <t>https://www.mckinsey.com/industries/life-sciences/our-insights/how-medical-device-ceos-can-navigate-digital-disruption-in-healthcare</t>
  </si>
  <si>
    <t>https://www.mckinsey.com/industries/healthcare/our-insights/optimizing-health-system-supply-chain-performance</t>
  </si>
  <si>
    <t>https://www2.deloitte.com/us/en/insights/industry/health-care/healthcare-supply-chain.html</t>
  </si>
  <si>
    <t>Total qty. of devices purchased</t>
  </si>
  <si>
    <t>Annual Change</t>
  </si>
  <si>
    <t>CAGR</t>
  </si>
  <si>
    <t>CSB Questions</t>
  </si>
  <si>
    <t>2 year</t>
  </si>
  <si>
    <t>Does this represent multiuse devices (I.e. including new, reprocessed and reusable?)</t>
  </si>
  <si>
    <t>trying to reuse</t>
  </si>
  <si>
    <t>Grand Total</t>
  </si>
  <si>
    <t>patient volume growth</t>
  </si>
  <si>
    <t>A growth % can be applied here based on AH's plans for patient visits, business etc. Can we discuss?</t>
  </si>
  <si>
    <t>SSS Qty Purchased</t>
  </si>
  <si>
    <t>Inputs from the matrix analysis (AAH Reprocessing Matrix 2022)</t>
  </si>
  <si>
    <t>Can you provide other data that needs to be integrated here?</t>
  </si>
  <si>
    <t>Of these items, which ones could be reusable?</t>
  </si>
  <si>
    <t>OEM Contract</t>
  </si>
  <si>
    <t>No info</t>
  </si>
  <si>
    <t>No barriers in WI but IL has min. comitments</t>
  </si>
  <si>
    <t>Pulse ox probes have gone down. Masimo is the OEM on pulse ox probes. WI strker is the reprocessor. IL it hasnt happened.</t>
  </si>
  <si>
    <t xml:space="preserve">No Barriers </t>
  </si>
  <si>
    <t>On this basis would reprocessing be considered for mats, ECG leads?</t>
  </si>
  <si>
    <t>No barriers noted. Cardinal hamper</t>
  </si>
  <si>
    <t>No barriers noted</t>
  </si>
  <si>
    <t>reusable item</t>
  </si>
  <si>
    <t>Collected</t>
  </si>
  <si>
    <t>Per info, a payout is received for items collected. Can we get the details of average rates?</t>
  </si>
  <si>
    <t>Current Reprocessed Spend</t>
  </si>
  <si>
    <t>Reprocessed Unit Cost</t>
  </si>
  <si>
    <t>Current Est. Savings</t>
  </si>
  <si>
    <t>Est. Savings per Unit</t>
  </si>
  <si>
    <t>Price differential between OEM and reprocessed products is not very high. Do we have other data to investigate this more</t>
  </si>
  <si>
    <t>Est. OEM price per unit</t>
  </si>
  <si>
    <t>% reprocessed (of total)</t>
  </si>
  <si>
    <t>CSB Assumption</t>
  </si>
  <si>
    <t>Growth in % terms</t>
  </si>
  <si>
    <t>% Collected of total</t>
  </si>
  <si>
    <t>% Collected (of reprocessed)</t>
  </si>
  <si>
    <t>Row Labels</t>
  </si>
  <si>
    <t>Sum of Actual Spend Reprocessed</t>
  </si>
  <si>
    <t>Sum of SSS Qty Purchased</t>
  </si>
  <si>
    <t>Sum of Spend if Purchased OEM</t>
  </si>
  <si>
    <t>Average of SSS Unit Price</t>
  </si>
  <si>
    <t>Average of OEM Price</t>
  </si>
  <si>
    <t>Patient Care 2019</t>
  </si>
  <si>
    <t>Avg Usage</t>
  </si>
  <si>
    <t>% Reprocessed</t>
  </si>
  <si>
    <t>% Collected</t>
  </si>
  <si>
    <t>% Purchased Back</t>
  </si>
  <si>
    <t>Est. Additional Spend Opportunity</t>
  </si>
  <si>
    <t>Est. Additional Savings Opportunity</t>
  </si>
  <si>
    <t>Unit Reprocessing Spend</t>
  </si>
  <si>
    <t>Unit Saving</t>
  </si>
  <si>
    <t>Est. Additional Spend Opportunity (Unit)</t>
  </si>
  <si>
    <t>Est. Additional Savings Opportunity (Unit)</t>
  </si>
  <si>
    <t>Cervical Collars</t>
  </si>
  <si>
    <t>Patient Care 2020</t>
  </si>
  <si>
    <t>Patient Care 2021</t>
  </si>
  <si>
    <t>Surgical 2019</t>
  </si>
  <si>
    <t>Surgical 2020</t>
  </si>
  <si>
    <t>Surgical 2021</t>
  </si>
  <si>
    <t>VASCULAR 2019</t>
  </si>
  <si>
    <t>VASCULAR 2020</t>
  </si>
  <si>
    <t>VASCULAR 2021</t>
  </si>
  <si>
    <t>Sum of Quantity In Eaches</t>
  </si>
  <si>
    <t>Sum of Base Spend</t>
  </si>
  <si>
    <t>ARTHROSCOPY SUPPLIES</t>
  </si>
  <si>
    <t>DIAGNOSTIC AND INTERVENTIONAL CARDIOLOGY ACCESSORIES</t>
  </si>
  <si>
    <t>ELECTROPHYSIOLOGY PRODUCTS</t>
  </si>
  <si>
    <t>ENDOMECHANICAL PRODUCTS</t>
  </si>
  <si>
    <t>GENERAL ORTHOPEDIC TRAUMA PRODUCTS</t>
  </si>
  <si>
    <t>INTERVENTIONAL SHEATHS AND INTRODUCERS</t>
  </si>
  <si>
    <t>INTERVENTIONAL SPECIALTY DIAGNOSTICS</t>
  </si>
  <si>
    <t>LAPAROSCOPIC SURGICAL INSTRUMENTS</t>
  </si>
  <si>
    <t>ORTHOPEDIC POWER TOOLS AND ACCESSORIES</t>
  </si>
  <si>
    <t>PULSE OXIMETRY AND CAPNOGRAPHY DEVICES</t>
  </si>
  <si>
    <t>SPECIALTY WOMENS HEALTH SURGICAL PRODUCTS</t>
  </si>
  <si>
    <t>SURGICAL AUTOMATIC TOURNIQUET SYSTEMS AND ACCESSORIES</t>
  </si>
  <si>
    <t>SURGICAL ENERGY AND SMOKE EVACUATION PRODUCTS</t>
  </si>
  <si>
    <t>SURGICAL INSTRUMENTS</t>
  </si>
  <si>
    <t>TROCAR PRODUCTS</t>
  </si>
  <si>
    <t>TOTAL</t>
  </si>
  <si>
    <t>Taken Stryker 's unit cost</t>
  </si>
  <si>
    <t xml:space="preserve">single use fall alarms only </t>
  </si>
  <si>
    <t>% price savings (OEM-Reprocessed)/OEM*100</t>
  </si>
  <si>
    <t>`</t>
  </si>
  <si>
    <t>Total Qty Purchased</t>
  </si>
  <si>
    <t>2 yr</t>
  </si>
  <si>
    <t>Is this the same as laprascopic gaspers?</t>
  </si>
  <si>
    <t>LAPAROSCOPIC SURGICAL INSTRUMENTS, ENDOMECHANICAL PRODUCTS</t>
  </si>
  <si>
    <t>SURGICAL INSTRUMENTS,SPECIALTY WOMENS HEALTH SURGICAL PRODUCTS,</t>
  </si>
  <si>
    <t>GENERAL ORTHOPEDIC TRAUMA PRODUCTS,ORTHOPEDIC POWER TOOLS AND ACCESSORIES</t>
  </si>
  <si>
    <t>No barriers noted. Stryker in WI is both OEM and Reprocessor</t>
  </si>
  <si>
    <t>No info available in matrix</t>
  </si>
  <si>
    <t>OEM Contract is a barrier</t>
  </si>
  <si>
    <t>No known barriers other than physician preference</t>
  </si>
  <si>
    <t>No known barriers other than physician and tech preference</t>
  </si>
  <si>
    <t>High Market Share commitment to OEM. Reprocessor/OEM don't match</t>
  </si>
  <si>
    <t>No info available in matrix on barriers</t>
  </si>
  <si>
    <t>Appears to repeat in patient care- is it different or designated for OR use?</t>
  </si>
  <si>
    <t>Reprocessed purchases as % Total devices purchases eligible for reprocessing</t>
  </si>
  <si>
    <t>SSS Qty Collected</t>
  </si>
  <si>
    <t>Reprocessing Spend</t>
  </si>
  <si>
    <t xml:space="preserve">Savings </t>
  </si>
  <si>
    <t>Reprocessing Unit Costs (Calculated)</t>
  </si>
  <si>
    <t>Savings per unit (Calculated)</t>
  </si>
  <si>
    <t>Is this a new program category?</t>
  </si>
  <si>
    <t>Data shows OEM Costs are lower than reprocessing</t>
  </si>
  <si>
    <t>OEM Costs per unit (Calculated)</t>
  </si>
  <si>
    <t xml:space="preserve">Base spend per unit </t>
  </si>
  <si>
    <t>Difference (OEM-Reprocessed)</t>
  </si>
  <si>
    <t xml:space="preserve">% Collected of total </t>
  </si>
  <si>
    <t>% Price difference</t>
  </si>
  <si>
    <t>Total Purchased</t>
  </si>
  <si>
    <t>Inputs from the matrix analysis</t>
  </si>
  <si>
    <t>Stryker is OEM and reprocessor. No barriers noted other than physician preference</t>
  </si>
  <si>
    <t>Is Stryker the OEM and Reprocessor for all the items? Have physician preferences been managed?</t>
  </si>
  <si>
    <t>Reprocessed Spend</t>
  </si>
  <si>
    <t>Estimated Savings</t>
  </si>
  <si>
    <t>Unit Cost</t>
  </si>
  <si>
    <t>Costs are increasing</t>
  </si>
  <si>
    <t>Unit Cost Saving</t>
  </si>
  <si>
    <t>OEM Cost (Calculated)</t>
  </si>
  <si>
    <t>% reprocessed of total</t>
  </si>
  <si>
    <t>% collected of total</t>
  </si>
  <si>
    <t>% purchased back (of collected )</t>
  </si>
  <si>
    <t>Price saving</t>
  </si>
  <si>
    <t>Volume</t>
  </si>
  <si>
    <t>3 year average</t>
  </si>
  <si>
    <t>Total Qty. of devices purchased (PC)</t>
  </si>
  <si>
    <t>Total Qty. of devices purchased (S&amp;V)</t>
  </si>
  <si>
    <t>REPROCESSED</t>
  </si>
  <si>
    <t>% of total</t>
  </si>
  <si>
    <t>PC % of total</t>
  </si>
  <si>
    <t>S&amp;V % of total</t>
  </si>
  <si>
    <t>Total devices spend (PC)</t>
  </si>
  <si>
    <t>Total devices spend (S&amp;V)</t>
  </si>
  <si>
    <t>Average annual growth in total device purchases</t>
  </si>
  <si>
    <t>Actual (2019-2021)</t>
  </si>
  <si>
    <t>Assumed in the model</t>
  </si>
  <si>
    <t>Avg. annual growth in total device purchase</t>
  </si>
  <si>
    <t>Total device spends growth as per Annual report</t>
  </si>
  <si>
    <t>Avg. annual growth in reprocessed device purchase</t>
  </si>
  <si>
    <t>5/3/1%</t>
  </si>
  <si>
    <t>H/M/L options</t>
  </si>
  <si>
    <t>Average annual change in price of new devices</t>
  </si>
  <si>
    <t xml:space="preserve">Assumed based on discussion </t>
  </si>
  <si>
    <t>Average annual change in price of reprocessed items</t>
  </si>
  <si>
    <t xml:space="preserve">TOTAL </t>
  </si>
  <si>
    <t>Quantity in eaches</t>
  </si>
  <si>
    <t>2 year CAGR</t>
  </si>
  <si>
    <t>Base spend ($)</t>
  </si>
  <si>
    <t>Average cost per device</t>
  </si>
  <si>
    <t>Reprocessed Purchases</t>
  </si>
  <si>
    <t>Surgical items</t>
  </si>
  <si>
    <t>Vascular items</t>
  </si>
  <si>
    <t>Total Reprocessed Purchase</t>
  </si>
  <si>
    <t>As % of total device purchase</t>
  </si>
  <si>
    <t>Dat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</si>
</sst>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mmmm\ yyyy"/>
    <numFmt numFmtId="165" formatCode="_(&quot;$&quot;* #,##0_);_(&quot;$&quot;* \(#,##0\);_(&quot;$&quot;* &quot;-&quot;??_);_(@_)"/>
    <numFmt numFmtId="166" formatCode="_(* #,##0_);_(* \(#,##0\);_(* &quot;-&quot;??_);_(@_)"/>
    <numFmt numFmtId="167" formatCode="0.0%"/>
    <numFmt numFmtId="168" formatCode="_([$$-409]* #,##0_);_([$$-409]* \(#,##0\);_([$$-409]* &quot;-&quot;??_);_(@_)"/>
    <numFmt numFmtId="169" formatCode="_(&quot;$&quot;* #,##0.0_);_(&quot;$&quot;* \(#,##0.0\);_(&quot;$&quot;* &quot;-&quot;??.0_);_(@_)"/>
    <numFmt numFmtId="170" formatCode="_(* #,##0.000_);_(* \(#,##0.000\);_(* &quot;-&quot;??_);_(@_)"/>
    <numFmt numFmtId="171" formatCode="0.000"/>
    <numFmt numFmtId="172" formatCode="_(* #,##0.0_);_(* \(#,##0.0\);_(* &quot;-&quot;??_);_(@_)"/>
    <numFmt numFmtId="173" formatCode="#,##0.0"/>
    <numFmt numFmtId="174" formatCode="_(&quot;$&quot;* #,##0.0_);_(&quot;$&quot;* \(#,##0.0\);_(&quot;$&quot;* &quot;-&quot;??_);_(@_)"/>
    <numFmt numFmtId="175" formatCode="&quot;$&quot;#,##0"/>
    <numFmt numFmtId="176" formatCode="&quot;$&quot;#,##0.00"/>
    <numFmt numFmtId="177" formatCode="0.000%"/>
    <numFmt numFmtId="178" formatCode="_(&quot;$&quot;* #,##0.000_);_(&quot;$&quot;* \(#,##0.000\);_(&quot;$&quot;* &quot;-&quot;??_);_(@_)"/>
  </numFmts>
  <fonts count="73" x14ac:knownFonts="1">
    <font>
      <sz val="10"/>
      <color rgb="FF000000"/>
      <name val="Calibri"/>
      <scheme val="minor"/>
    </font>
    <font>
      <sz val="10"/>
      <color theme="1"/>
      <name val="Arial"/>
    </font>
    <font>
      <sz val="10"/>
      <color rgb="FF000000"/>
      <name val="Arial"/>
    </font>
    <font>
      <b/>
      <sz val="18"/>
      <color theme="1"/>
      <name val="Arial"/>
    </font>
    <font>
      <sz val="10"/>
      <name val="Calibri"/>
    </font>
    <font>
      <b/>
      <sz val="14"/>
      <color rgb="FFFF0000"/>
      <name val="Arial"/>
    </font>
    <font>
      <sz val="12"/>
      <color theme="1"/>
      <name val="Arial"/>
    </font>
    <font>
      <sz val="18"/>
      <color theme="1"/>
      <name val="Arial"/>
    </font>
    <font>
      <sz val="10"/>
      <color rgb="FF1F1E33"/>
      <name val="Arial"/>
    </font>
    <font>
      <b/>
      <sz val="14"/>
      <color rgb="FFFFFFFF"/>
      <name val="Arial"/>
    </font>
    <font>
      <sz val="11"/>
      <color rgb="FFFFFFFF"/>
      <name val="Arial"/>
    </font>
    <font>
      <sz val="11"/>
      <color theme="1"/>
      <name val="Arial"/>
    </font>
    <font>
      <sz val="11"/>
      <color rgb="FF000000"/>
      <name val="Arial"/>
    </font>
    <font>
      <b/>
      <sz val="12"/>
      <color rgb="FFFFFFFF"/>
      <name val="Arial"/>
    </font>
    <font>
      <b/>
      <sz val="12"/>
      <color rgb="FF000000"/>
      <name val="Arial"/>
    </font>
    <font>
      <sz val="10"/>
      <color theme="1"/>
      <name val="Calibri"/>
    </font>
    <font>
      <sz val="12"/>
      <color rgb="FF000000"/>
      <name val="Arial"/>
    </font>
    <font>
      <sz val="12"/>
      <color rgb="FFFF0000"/>
      <name val="Arial"/>
    </font>
    <font>
      <sz val="12"/>
      <color theme="0"/>
      <name val="Arial"/>
    </font>
    <font>
      <b/>
      <sz val="12"/>
      <color theme="0"/>
      <name val="Arial"/>
    </font>
    <font>
      <sz val="10"/>
      <color rgb="FF000000"/>
      <name val="Calibri"/>
    </font>
    <font>
      <b/>
      <sz val="12"/>
      <color rgb="FF7030A0"/>
      <name val="Arial"/>
    </font>
    <font>
      <b/>
      <sz val="12"/>
      <color rgb="FF3333FF"/>
      <name val="Arial"/>
    </font>
    <font>
      <b/>
      <i/>
      <sz val="12"/>
      <color rgb="FF7030A0"/>
      <name val="Arial"/>
    </font>
    <font>
      <b/>
      <i/>
      <sz val="12"/>
      <color theme="0"/>
      <name val="Arial"/>
    </font>
    <font>
      <b/>
      <sz val="12"/>
      <color theme="1"/>
      <name val="Arial"/>
    </font>
    <font>
      <sz val="12"/>
      <color rgb="FF3333FF"/>
      <name val="Arial"/>
    </font>
    <font>
      <i/>
      <sz val="12"/>
      <color theme="1"/>
      <name val="Arial"/>
    </font>
    <font>
      <b/>
      <i/>
      <sz val="12"/>
      <color theme="1"/>
      <name val="Arial"/>
    </font>
    <font>
      <b/>
      <sz val="12"/>
      <color rgb="FFFF0000"/>
      <name val="Arial"/>
    </font>
    <font>
      <b/>
      <sz val="12"/>
      <color rgb="FFC00000"/>
      <name val="Arial"/>
    </font>
    <font>
      <b/>
      <u/>
      <sz val="12"/>
      <color rgb="FF7030A0"/>
      <name val="Arial"/>
    </font>
    <font>
      <u/>
      <sz val="10"/>
      <color theme="10"/>
      <name val="Calibri"/>
    </font>
    <font>
      <i/>
      <sz val="10"/>
      <color theme="1"/>
      <name val="Arial"/>
    </font>
    <font>
      <i/>
      <sz val="10"/>
      <color rgb="FF3333FF"/>
      <name val="Arial"/>
    </font>
    <font>
      <b/>
      <u/>
      <sz val="12"/>
      <color rgb="FF7030A0"/>
      <name val="Arial"/>
    </font>
    <font>
      <i/>
      <sz val="12"/>
      <color rgb="FF3333FF"/>
      <name val="Arial"/>
    </font>
    <font>
      <b/>
      <i/>
      <sz val="12"/>
      <color rgb="FF3333FF"/>
      <name val="Arial"/>
    </font>
    <font>
      <sz val="12"/>
      <color rgb="FF0000FF"/>
      <name val="Arial"/>
    </font>
    <font>
      <sz val="12"/>
      <color rgb="FF7030A0"/>
      <name val="Arial"/>
    </font>
    <font>
      <sz val="7"/>
      <color rgb="FF5C6668"/>
      <name val="Arial"/>
    </font>
    <font>
      <b/>
      <i/>
      <sz val="10"/>
      <color rgb="FF3333FF"/>
      <name val="Arial"/>
    </font>
    <font>
      <u/>
      <sz val="12"/>
      <color theme="10"/>
      <name val="Calibri"/>
    </font>
    <font>
      <u/>
      <sz val="12"/>
      <color theme="10"/>
      <name val="Arial"/>
    </font>
    <font>
      <sz val="12"/>
      <color rgb="FF000000"/>
      <name val="Calibri"/>
    </font>
    <font>
      <i/>
      <sz val="12"/>
      <color rgb="FF000000"/>
      <name val="Arial"/>
    </font>
    <font>
      <u/>
      <sz val="12"/>
      <color theme="10"/>
      <name val="Arial"/>
    </font>
    <font>
      <u/>
      <sz val="12"/>
      <color rgb="FF000000"/>
      <name val="Arial"/>
    </font>
    <font>
      <u/>
      <sz val="12"/>
      <color theme="10"/>
      <name val="Arial"/>
    </font>
    <font>
      <sz val="12"/>
      <color rgb="FFFFFFFF"/>
      <name val="Arial"/>
    </font>
    <font>
      <b/>
      <sz val="10"/>
      <color rgb="FF000000"/>
      <name val="Calibri"/>
    </font>
    <font>
      <u/>
      <sz val="10"/>
      <color theme="10"/>
      <name val="Calibri"/>
    </font>
    <font>
      <b/>
      <sz val="10"/>
      <color theme="0"/>
      <name val="Arial"/>
    </font>
    <font>
      <b/>
      <sz val="10"/>
      <color theme="1"/>
      <name val="Calibri"/>
    </font>
    <font>
      <b/>
      <sz val="10"/>
      <color rgb="FF3333FF"/>
      <name val="Calibri"/>
    </font>
    <font>
      <b/>
      <sz val="10"/>
      <color theme="0"/>
      <name val="Cambria"/>
    </font>
    <font>
      <b/>
      <sz val="10"/>
      <color rgb="FF0000FF"/>
      <name val="Calibri"/>
    </font>
    <font>
      <b/>
      <sz val="10"/>
      <color theme="1"/>
      <name val="Cambria"/>
    </font>
    <font>
      <sz val="10"/>
      <color rgb="FF3333FF"/>
      <name val="Calibri"/>
    </font>
    <font>
      <sz val="10"/>
      <color rgb="FF1F1F1F"/>
      <name val="Calibri"/>
    </font>
    <font>
      <b/>
      <sz val="10"/>
      <color theme="1"/>
      <name val="Arial"/>
    </font>
    <font>
      <b/>
      <sz val="10"/>
      <color rgb="FFFF0000"/>
      <name val="Arial"/>
    </font>
    <font>
      <b/>
      <sz val="10"/>
      <color rgb="FFFFFFFF"/>
      <name val="Cambria"/>
    </font>
    <font>
      <sz val="10"/>
      <color theme="1"/>
      <name val="Cambria"/>
    </font>
    <font>
      <b/>
      <sz val="10"/>
      <color theme="0"/>
      <name val="Calibri"/>
    </font>
    <font>
      <sz val="10"/>
      <color theme="0"/>
      <name val="Calibri"/>
    </font>
    <font>
      <sz val="10"/>
      <color rgb="FFFF0000"/>
      <name val="Calibri"/>
    </font>
    <font>
      <b/>
      <sz val="10"/>
      <color rgb="FFFF0000"/>
      <name val="Cambria"/>
    </font>
    <font>
      <sz val="6"/>
      <color rgb="FF1F1F1F"/>
      <name val="Calibri"/>
    </font>
    <font>
      <b/>
      <sz val="10"/>
      <color rgb="FFFF0000"/>
      <name val="Calibri"/>
    </font>
    <font>
      <b/>
      <sz val="10"/>
      <color rgb="FF002060"/>
      <name val="Calibri"/>
    </font>
    <font>
      <sz val="12"/>
      <color theme="10"/>
      <name val="Arial"/>
    </font>
    <font>
      <u/>
      <sz val="12"/>
      <color rgb="FF0070C0"/>
      <name val="Arial"/>
    </font>
  </fonts>
  <fills count="30">
    <fill>
      <patternFill patternType="none"/>
    </fill>
    <fill>
      <patternFill patternType="gray125"/>
    </fill>
    <fill>
      <patternFill patternType="solid">
        <fgColor rgb="FFFFFFFF"/>
        <bgColor rgb="FFFFFFFF"/>
      </patternFill>
    </fill>
    <fill>
      <patternFill patternType="solid">
        <fgColor rgb="FF7030A0"/>
        <bgColor rgb="FF7030A0"/>
      </patternFill>
    </fill>
    <fill>
      <patternFill patternType="solid">
        <fgColor theme="0"/>
        <bgColor theme="0"/>
      </patternFill>
    </fill>
    <fill>
      <patternFill patternType="solid">
        <fgColor rgb="FFDEEAF6"/>
        <bgColor rgb="FFDEEAF6"/>
      </patternFill>
    </fill>
    <fill>
      <patternFill patternType="solid">
        <fgColor rgb="FFF2F2F2"/>
        <bgColor rgb="FFF2F2F2"/>
      </patternFill>
    </fill>
    <fill>
      <patternFill patternType="solid">
        <fgColor rgb="FFD8D8D8"/>
        <bgColor rgb="FFD8D8D8"/>
      </patternFill>
    </fill>
    <fill>
      <patternFill patternType="solid">
        <fgColor rgb="FFD9E2F3"/>
        <bgColor rgb="FFD9E2F3"/>
      </patternFill>
    </fill>
    <fill>
      <patternFill patternType="solid">
        <fgColor rgb="FF00B0F0"/>
        <bgColor rgb="FF00B0F0"/>
      </patternFill>
    </fill>
    <fill>
      <patternFill patternType="solid">
        <fgColor rgb="FFA5A5A5"/>
        <bgColor rgb="FFA5A5A5"/>
      </patternFill>
    </fill>
    <fill>
      <patternFill patternType="solid">
        <fgColor rgb="FFFEF1CC"/>
        <bgColor rgb="FFFEF1CC"/>
      </patternFill>
    </fill>
    <fill>
      <patternFill patternType="solid">
        <fgColor rgb="FF92D050"/>
        <bgColor rgb="FF92D050"/>
      </patternFill>
    </fill>
    <fill>
      <patternFill patternType="solid">
        <fgColor rgb="FFD9E6FC"/>
        <bgColor rgb="FFD9E6FC"/>
      </patternFill>
    </fill>
    <fill>
      <patternFill patternType="solid">
        <fgColor rgb="FFFFC000"/>
        <bgColor rgb="FFFFC000"/>
      </patternFill>
    </fill>
    <fill>
      <patternFill patternType="solid">
        <fgColor rgb="FFFFFF00"/>
        <bgColor rgb="FFFFFF00"/>
      </patternFill>
    </fill>
    <fill>
      <patternFill patternType="solid">
        <fgColor rgb="FFFEF2CB"/>
        <bgColor rgb="FFFEF2CB"/>
      </patternFill>
    </fill>
    <fill>
      <patternFill patternType="solid">
        <fgColor theme="1"/>
        <bgColor theme="1"/>
      </patternFill>
    </fill>
    <fill>
      <patternFill patternType="solid">
        <fgColor rgb="FF0070C0"/>
        <bgColor rgb="FF0070C0"/>
      </patternFill>
    </fill>
    <fill>
      <patternFill patternType="solid">
        <fgColor rgb="FFFFB500"/>
        <bgColor rgb="FFFFB500"/>
      </patternFill>
    </fill>
    <fill>
      <patternFill patternType="solid">
        <fgColor theme="7"/>
        <bgColor theme="7"/>
      </patternFill>
    </fill>
    <fill>
      <patternFill patternType="solid">
        <fgColor theme="8"/>
        <bgColor theme="8"/>
      </patternFill>
    </fill>
    <fill>
      <patternFill patternType="solid">
        <fgColor theme="4"/>
        <bgColor theme="4"/>
      </patternFill>
    </fill>
    <fill>
      <patternFill patternType="solid">
        <fgColor rgb="FF00FF00"/>
        <bgColor rgb="FF00FF00"/>
      </patternFill>
    </fill>
    <fill>
      <patternFill patternType="solid">
        <fgColor rgb="FF000000"/>
        <bgColor rgb="FF000000"/>
      </patternFill>
    </fill>
    <fill>
      <patternFill patternType="solid">
        <fgColor rgb="FF545857"/>
        <bgColor rgb="FF545857"/>
      </patternFill>
    </fill>
    <fill>
      <patternFill patternType="solid">
        <fgColor rgb="FF1C5687"/>
        <bgColor rgb="FF1C5687"/>
      </patternFill>
    </fill>
    <fill>
      <patternFill patternType="solid">
        <fgColor rgb="FF85458A"/>
        <bgColor rgb="FF85458A"/>
      </patternFill>
    </fill>
    <fill>
      <patternFill patternType="solid">
        <fgColor rgb="FFAF6D04"/>
        <bgColor rgb="FFAF6D04"/>
      </patternFill>
    </fill>
    <fill>
      <patternFill patternType="solid">
        <fgColor rgb="FFCCCCCC"/>
        <bgColor rgb="FFCCCCCC"/>
      </patternFill>
    </fill>
  </fills>
  <borders count="66">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bottom/>
      <diagonal/>
    </border>
    <border>
      <left/>
      <right/>
      <top/>
      <bottom/>
      <diagonal/>
    </border>
    <border>
      <left/>
      <right/>
      <top/>
      <bottom/>
      <diagonal/>
    </border>
    <border>
      <left/>
      <right style="medium">
        <color rgb="FF000000"/>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diagonal/>
    </border>
    <border>
      <left/>
      <right style="medium">
        <color rgb="FF000000"/>
      </right>
      <top/>
      <bottom/>
      <diagonal/>
    </border>
    <border>
      <left/>
      <right style="medium">
        <color rgb="FF000000"/>
      </right>
      <top/>
      <bottom style="medium">
        <color rgb="FF000000"/>
      </bottom>
      <diagonal/>
    </border>
    <border>
      <left/>
      <right/>
      <top style="thin">
        <color rgb="FF8EAADB"/>
      </top>
      <bottom/>
      <diagonal/>
    </border>
  </borders>
  <cellStyleXfs count="1">
    <xf numFmtId="0" fontId="0" fillId="0" borderId="0"/>
  </cellStyleXfs>
  <cellXfs count="620">
    <xf numFmtId="0" fontId="0" fillId="0" borderId="0" xfId="0" applyFont="1" applyAlignment="1"/>
    <xf numFmtId="0" fontId="1" fillId="2" borderId="1" xfId="0" applyFont="1" applyFill="1" applyBorder="1"/>
    <xf numFmtId="0" fontId="2" fillId="0" borderId="0" xfId="0" applyFont="1"/>
    <xf numFmtId="0" fontId="3" fillId="2" borderId="1" xfId="0" applyFont="1" applyFill="1" applyBorder="1"/>
    <xf numFmtId="0" fontId="5" fillId="2" borderId="1" xfId="0" applyFont="1" applyFill="1" applyBorder="1"/>
    <xf numFmtId="0" fontId="1" fillId="2" borderId="1" xfId="0" applyFont="1" applyFill="1" applyBorder="1" applyAlignment="1">
      <alignment vertical="center" wrapText="1"/>
    </xf>
    <xf numFmtId="0" fontId="7" fillId="2" borderId="1" xfId="0" applyFont="1" applyFill="1" applyBorder="1"/>
    <xf numFmtId="0" fontId="8" fillId="0" borderId="0" xfId="0" applyFont="1"/>
    <xf numFmtId="0" fontId="10" fillId="3" borderId="7" xfId="0" applyFont="1" applyFill="1" applyBorder="1"/>
    <xf numFmtId="0" fontId="10" fillId="3" borderId="8" xfId="0" applyFont="1" applyFill="1" applyBorder="1"/>
    <xf numFmtId="0" fontId="11" fillId="4" borderId="1" xfId="0" applyFont="1" applyFill="1" applyBorder="1"/>
    <xf numFmtId="0" fontId="13" fillId="0" borderId="0" xfId="0" applyFont="1" applyAlignment="1">
      <alignment horizontal="center"/>
    </xf>
    <xf numFmtId="0" fontId="14" fillId="0" borderId="0" xfId="0" applyFont="1"/>
    <xf numFmtId="0" fontId="11" fillId="0" borderId="0" xfId="0" applyFont="1"/>
    <xf numFmtId="0" fontId="13" fillId="3" borderId="10" xfId="0" applyFont="1" applyFill="1" applyBorder="1" applyAlignment="1">
      <alignment horizontal="center"/>
    </xf>
    <xf numFmtId="0" fontId="14" fillId="2" borderId="1" xfId="0" applyFont="1" applyFill="1" applyBorder="1"/>
    <xf numFmtId="0" fontId="15" fillId="0" borderId="0" xfId="0" applyFont="1"/>
    <xf numFmtId="0" fontId="13" fillId="3" borderId="1" xfId="0" applyFont="1" applyFill="1" applyBorder="1" applyAlignment="1">
      <alignment horizontal="center"/>
    </xf>
    <xf numFmtId="0" fontId="16" fillId="2" borderId="1" xfId="0" applyFont="1" applyFill="1" applyBorder="1"/>
    <xf numFmtId="0" fontId="13" fillId="3" borderId="11" xfId="0" applyFont="1" applyFill="1" applyBorder="1" applyAlignment="1">
      <alignment horizontal="center"/>
    </xf>
    <xf numFmtId="0" fontId="16" fillId="4" borderId="1" xfId="0" applyFont="1" applyFill="1" applyBorder="1"/>
    <xf numFmtId="0" fontId="17" fillId="4" borderId="1" xfId="0" applyFont="1" applyFill="1" applyBorder="1"/>
    <xf numFmtId="0" fontId="16" fillId="4" borderId="1" xfId="0" applyFont="1" applyFill="1" applyBorder="1" applyAlignment="1">
      <alignment horizontal="left" wrapText="1"/>
    </xf>
    <xf numFmtId="0" fontId="18" fillId="3" borderId="1" xfId="0" applyFont="1" applyFill="1" applyBorder="1"/>
    <xf numFmtId="0" fontId="14" fillId="5" borderId="1" xfId="0" applyFont="1" applyFill="1" applyBorder="1" applyAlignment="1">
      <alignment horizontal="left" vertical="center"/>
    </xf>
    <xf numFmtId="0" fontId="18" fillId="5" borderId="1" xfId="0" applyFont="1" applyFill="1" applyBorder="1"/>
    <xf numFmtId="0" fontId="16" fillId="4" borderId="14" xfId="0" applyFont="1" applyFill="1" applyBorder="1"/>
    <xf numFmtId="0" fontId="16" fillId="4" borderId="1" xfId="0" applyFont="1" applyFill="1" applyBorder="1" applyAlignment="1">
      <alignment horizontal="left" vertical="center"/>
    </xf>
    <xf numFmtId="0" fontId="18" fillId="4" borderId="1" xfId="0" applyFont="1" applyFill="1" applyBorder="1"/>
    <xf numFmtId="0" fontId="16" fillId="5" borderId="1" xfId="0" applyFont="1" applyFill="1" applyBorder="1"/>
    <xf numFmtId="0" fontId="20" fillId="4" borderId="1" xfId="0" applyFont="1" applyFill="1" applyBorder="1"/>
    <xf numFmtId="0" fontId="21" fillId="6" borderId="1" xfId="0" applyFont="1" applyFill="1" applyBorder="1" applyAlignment="1">
      <alignment vertical="center"/>
    </xf>
    <xf numFmtId="0" fontId="6" fillId="6" borderId="1" xfId="0" applyFont="1" applyFill="1" applyBorder="1"/>
    <xf numFmtId="0" fontId="22" fillId="6" borderId="1" xfId="0" applyFont="1" applyFill="1" applyBorder="1" applyAlignment="1">
      <alignment vertical="center"/>
    </xf>
    <xf numFmtId="0" fontId="17" fillId="6" borderId="1" xfId="0" applyFont="1" applyFill="1" applyBorder="1" applyAlignment="1">
      <alignment vertical="center"/>
    </xf>
    <xf numFmtId="0" fontId="19" fillId="3" borderId="15" xfId="0" applyFont="1" applyFill="1" applyBorder="1" applyAlignment="1">
      <alignment horizontal="left"/>
    </xf>
    <xf numFmtId="0" fontId="23" fillId="3" borderId="16" xfId="0" applyFont="1" applyFill="1" applyBorder="1" applyAlignment="1">
      <alignment horizontal="center"/>
    </xf>
    <xf numFmtId="0" fontId="13" fillId="3" borderId="16" xfId="0" applyFont="1" applyFill="1" applyBorder="1" applyAlignment="1">
      <alignment horizontal="left"/>
    </xf>
    <xf numFmtId="0" fontId="23" fillId="3" borderId="16" xfId="0" applyFont="1" applyFill="1" applyBorder="1" applyAlignment="1">
      <alignment horizontal="left"/>
    </xf>
    <xf numFmtId="0" fontId="23" fillId="3" borderId="20" xfId="0" applyFont="1" applyFill="1" applyBorder="1" applyAlignment="1">
      <alignment horizontal="left"/>
    </xf>
    <xf numFmtId="0" fontId="24" fillId="3" borderId="21" xfId="0" applyFont="1" applyFill="1" applyBorder="1" applyAlignment="1">
      <alignment horizontal="left"/>
    </xf>
    <xf numFmtId="0" fontId="24" fillId="3" borderId="1" xfId="0" applyFont="1" applyFill="1" applyBorder="1" applyAlignment="1">
      <alignment horizontal="center"/>
    </xf>
    <xf numFmtId="0" fontId="13" fillId="3" borderId="1" xfId="0" applyFont="1" applyFill="1" applyBorder="1" applyAlignment="1">
      <alignment horizontal="right"/>
    </xf>
    <xf numFmtId="0" fontId="19" fillId="3" borderId="1" xfId="0" applyFont="1" applyFill="1" applyBorder="1" applyAlignment="1">
      <alignment horizontal="right"/>
    </xf>
    <xf numFmtId="0" fontId="19" fillId="3" borderId="22" xfId="0" applyFont="1" applyFill="1" applyBorder="1" applyAlignment="1">
      <alignment horizontal="right" wrapText="1"/>
    </xf>
    <xf numFmtId="0" fontId="19" fillId="3" borderId="1" xfId="0" applyFont="1" applyFill="1" applyBorder="1" applyAlignment="1">
      <alignment horizontal="right" wrapText="1"/>
    </xf>
    <xf numFmtId="0" fontId="25" fillId="6" borderId="21" xfId="0" applyFont="1" applyFill="1" applyBorder="1" applyAlignment="1">
      <alignment horizontal="left"/>
    </xf>
    <xf numFmtId="0" fontId="6" fillId="6" borderId="1" xfId="0" applyFont="1" applyFill="1" applyBorder="1" applyAlignment="1">
      <alignment horizontal="center"/>
    </xf>
    <xf numFmtId="3" fontId="26" fillId="6" borderId="1" xfId="0" applyNumberFormat="1" applyFont="1" applyFill="1" applyBorder="1" applyAlignment="1">
      <alignment horizontal="right"/>
    </xf>
    <xf numFmtId="3" fontId="6" fillId="6" borderId="1" xfId="0" applyNumberFormat="1" applyFont="1" applyFill="1" applyBorder="1" applyAlignment="1">
      <alignment horizontal="right"/>
    </xf>
    <xf numFmtId="0" fontId="16" fillId="6" borderId="1" xfId="0" applyFont="1" applyFill="1" applyBorder="1"/>
    <xf numFmtId="0" fontId="20" fillId="6" borderId="22" xfId="0" applyFont="1" applyFill="1" applyBorder="1"/>
    <xf numFmtId="0" fontId="20" fillId="7" borderId="1" xfId="0" applyFont="1" applyFill="1" applyBorder="1"/>
    <xf numFmtId="0" fontId="6" fillId="6" borderId="21" xfId="0" applyFont="1" applyFill="1" applyBorder="1" applyAlignment="1">
      <alignment horizontal="right"/>
    </xf>
    <xf numFmtId="0" fontId="27" fillId="6" borderId="1" xfId="0" applyFont="1" applyFill="1" applyBorder="1" applyAlignment="1">
      <alignment horizontal="center"/>
    </xf>
    <xf numFmtId="165" fontId="6" fillId="6" borderId="1" xfId="0" applyNumberFormat="1" applyFont="1" applyFill="1" applyBorder="1" applyAlignment="1">
      <alignment horizontal="right"/>
    </xf>
    <xf numFmtId="165" fontId="25" fillId="6" borderId="22" xfId="0" applyNumberFormat="1" applyFont="1" applyFill="1" applyBorder="1" applyAlignment="1">
      <alignment horizontal="right"/>
    </xf>
    <xf numFmtId="165" fontId="6" fillId="7" borderId="1" xfId="0" applyNumberFormat="1" applyFont="1" applyFill="1" applyBorder="1" applyAlignment="1">
      <alignment horizontal="right"/>
    </xf>
    <xf numFmtId="0" fontId="25" fillId="6" borderId="21" xfId="0" applyFont="1" applyFill="1" applyBorder="1" applyAlignment="1">
      <alignment horizontal="right"/>
    </xf>
    <xf numFmtId="165" fontId="25" fillId="6" borderId="1" xfId="0" applyNumberFormat="1" applyFont="1" applyFill="1" applyBorder="1" applyAlignment="1">
      <alignment horizontal="right"/>
    </xf>
    <xf numFmtId="165" fontId="25" fillId="7" borderId="1" xfId="0" applyNumberFormat="1" applyFont="1" applyFill="1" applyBorder="1" applyAlignment="1">
      <alignment horizontal="right"/>
    </xf>
    <xf numFmtId="9" fontId="20" fillId="0" borderId="0" xfId="0" applyNumberFormat="1" applyFont="1"/>
    <xf numFmtId="0" fontId="14" fillId="6" borderId="21" xfId="0" applyFont="1" applyFill="1" applyBorder="1"/>
    <xf numFmtId="0" fontId="16" fillId="6" borderId="1" xfId="0" applyFont="1" applyFill="1" applyBorder="1" applyAlignment="1">
      <alignment horizontal="center"/>
    </xf>
    <xf numFmtId="165" fontId="16" fillId="6" borderId="1" xfId="0" applyNumberFormat="1" applyFont="1" applyFill="1" applyBorder="1"/>
    <xf numFmtId="0" fontId="28" fillId="6" borderId="1" xfId="0" applyFont="1" applyFill="1" applyBorder="1" applyAlignment="1">
      <alignment horizontal="center"/>
    </xf>
    <xf numFmtId="165" fontId="14" fillId="6" borderId="1" xfId="0" applyNumberFormat="1" applyFont="1" applyFill="1" applyBorder="1"/>
    <xf numFmtId="165" fontId="14" fillId="6" borderId="22" xfId="0" applyNumberFormat="1" applyFont="1" applyFill="1" applyBorder="1"/>
    <xf numFmtId="165" fontId="14" fillId="7" borderId="1" xfId="0" applyNumberFormat="1" applyFont="1" applyFill="1" applyBorder="1"/>
    <xf numFmtId="165" fontId="29" fillId="6" borderId="1" xfId="0" applyNumberFormat="1" applyFont="1" applyFill="1" applyBorder="1"/>
    <xf numFmtId="165" fontId="29" fillId="6" borderId="22" xfId="0" applyNumberFormat="1" applyFont="1" applyFill="1" applyBorder="1"/>
    <xf numFmtId="165" fontId="29" fillId="7" borderId="1" xfId="0" applyNumberFormat="1" applyFont="1" applyFill="1" applyBorder="1"/>
    <xf numFmtId="0" fontId="6" fillId="6" borderId="23" xfId="0" applyFont="1" applyFill="1" applyBorder="1" applyAlignment="1">
      <alignment horizontal="right"/>
    </xf>
    <xf numFmtId="0" fontId="27" fillId="6" borderId="24" xfId="0" applyFont="1" applyFill="1" applyBorder="1" applyAlignment="1">
      <alignment horizontal="center"/>
    </xf>
    <xf numFmtId="165" fontId="22" fillId="6" borderId="24" xfId="0" applyNumberFormat="1" applyFont="1" applyFill="1" applyBorder="1"/>
    <xf numFmtId="165" fontId="22" fillId="6" borderId="25" xfId="0" applyNumberFormat="1" applyFont="1" applyFill="1" applyBorder="1"/>
    <xf numFmtId="165" fontId="22" fillId="7" borderId="24" xfId="0" applyNumberFormat="1" applyFont="1" applyFill="1" applyBorder="1"/>
    <xf numFmtId="0" fontId="30" fillId="6" borderId="1" xfId="0" applyFont="1" applyFill="1" applyBorder="1" applyAlignment="1">
      <alignment vertical="center"/>
    </xf>
    <xf numFmtId="0" fontId="25" fillId="6" borderId="1" xfId="0" applyFont="1" applyFill="1" applyBorder="1" applyAlignment="1">
      <alignment vertical="center"/>
    </xf>
    <xf numFmtId="0" fontId="6" fillId="6" borderId="1" xfId="0" applyFont="1" applyFill="1" applyBorder="1" applyAlignment="1">
      <alignment vertical="center"/>
    </xf>
    <xf numFmtId="166" fontId="6" fillId="6" borderId="1" xfId="0" applyNumberFormat="1" applyFont="1" applyFill="1" applyBorder="1"/>
    <xf numFmtId="0" fontId="6" fillId="8" borderId="1" xfId="0" applyFont="1" applyFill="1" applyBorder="1"/>
    <xf numFmtId="0" fontId="6" fillId="8" borderId="22" xfId="0" applyFont="1" applyFill="1" applyBorder="1"/>
    <xf numFmtId="0" fontId="13" fillId="9" borderId="15" xfId="0" applyFont="1" applyFill="1" applyBorder="1"/>
    <xf numFmtId="0" fontId="19" fillId="9" borderId="16" xfId="0" applyFont="1" applyFill="1" applyBorder="1"/>
    <xf numFmtId="0" fontId="16" fillId="9" borderId="16" xfId="0" applyFont="1" applyFill="1" applyBorder="1"/>
    <xf numFmtId="0" fontId="16" fillId="9" borderId="20" xfId="0" applyFont="1" applyFill="1" applyBorder="1"/>
    <xf numFmtId="0" fontId="25" fillId="10" borderId="21" xfId="0" applyFont="1" applyFill="1" applyBorder="1" applyAlignment="1">
      <alignment horizontal="left"/>
    </xf>
    <xf numFmtId="0" fontId="6" fillId="10" borderId="1" xfId="0" applyFont="1" applyFill="1" applyBorder="1" applyAlignment="1">
      <alignment horizontal="center"/>
    </xf>
    <xf numFmtId="0" fontId="6" fillId="10" borderId="21" xfId="0" applyFont="1" applyFill="1" applyBorder="1" applyAlignment="1">
      <alignment horizontal="right"/>
    </xf>
    <xf numFmtId="3" fontId="26" fillId="6" borderId="1" xfId="0" applyNumberFormat="1" applyFont="1" applyFill="1" applyBorder="1"/>
    <xf numFmtId="0" fontId="16" fillId="10" borderId="1" xfId="0" applyFont="1" applyFill="1" applyBorder="1"/>
    <xf numFmtId="0" fontId="16" fillId="10" borderId="22" xfId="0" applyFont="1" applyFill="1" applyBorder="1"/>
    <xf numFmtId="0" fontId="25" fillId="10" borderId="21" xfId="0" applyFont="1" applyFill="1" applyBorder="1" applyAlignment="1">
      <alignment horizontal="right"/>
    </xf>
    <xf numFmtId="3" fontId="25" fillId="10" borderId="1" xfId="0" applyNumberFormat="1" applyFont="1" applyFill="1" applyBorder="1"/>
    <xf numFmtId="165" fontId="26" fillId="6" borderId="1" xfId="0" applyNumberFormat="1" applyFont="1" applyFill="1" applyBorder="1"/>
    <xf numFmtId="0" fontId="16" fillId="10" borderId="21" xfId="0" applyFont="1" applyFill="1" applyBorder="1"/>
    <xf numFmtId="9" fontId="26" fillId="6" borderId="1" xfId="0" applyNumberFormat="1" applyFont="1" applyFill="1" applyBorder="1"/>
    <xf numFmtId="9" fontId="26" fillId="6" borderId="1" xfId="0" applyNumberFormat="1" applyFont="1" applyFill="1" applyBorder="1" applyAlignment="1">
      <alignment horizontal="right"/>
    </xf>
    <xf numFmtId="0" fontId="14" fillId="6" borderId="1" xfId="0" applyFont="1" applyFill="1" applyBorder="1"/>
    <xf numFmtId="9" fontId="25" fillId="10" borderId="1" xfId="0" applyNumberFormat="1" applyFont="1" applyFill="1" applyBorder="1"/>
    <xf numFmtId="0" fontId="33" fillId="10" borderId="21" xfId="0" applyFont="1" applyFill="1" applyBorder="1" applyAlignment="1">
      <alignment horizontal="right"/>
    </xf>
    <xf numFmtId="0" fontId="33" fillId="10" borderId="1" xfId="0" applyFont="1" applyFill="1" applyBorder="1" applyAlignment="1">
      <alignment horizontal="center"/>
    </xf>
    <xf numFmtId="9" fontId="34" fillId="6" borderId="1" xfId="0" applyNumberFormat="1" applyFont="1" applyFill="1" applyBorder="1"/>
    <xf numFmtId="0" fontId="6" fillId="10" borderId="21" xfId="0" applyFont="1" applyFill="1" applyBorder="1" applyAlignment="1">
      <alignment horizontal="left"/>
    </xf>
    <xf numFmtId="167" fontId="25" fillId="10" borderId="1" xfId="0" applyNumberFormat="1" applyFont="1" applyFill="1" applyBorder="1"/>
    <xf numFmtId="0" fontId="16" fillId="10" borderId="23" xfId="0" applyFont="1" applyFill="1" applyBorder="1"/>
    <xf numFmtId="0" fontId="6" fillId="10" borderId="24" xfId="0" applyFont="1" applyFill="1" applyBorder="1" applyAlignment="1">
      <alignment horizontal="center"/>
    </xf>
    <xf numFmtId="9" fontId="26" fillId="6" borderId="24" xfId="0" applyNumberFormat="1" applyFont="1" applyFill="1" applyBorder="1"/>
    <xf numFmtId="0" fontId="16" fillId="10" borderId="24" xfId="0" applyFont="1" applyFill="1" applyBorder="1"/>
    <xf numFmtId="0" fontId="6" fillId="6" borderId="1" xfId="0" applyFont="1" applyFill="1" applyBorder="1" applyAlignment="1">
      <alignment horizontal="left"/>
    </xf>
    <xf numFmtId="167" fontId="26" fillId="6" borderId="1" xfId="0" applyNumberFormat="1" applyFont="1" applyFill="1" applyBorder="1"/>
    <xf numFmtId="0" fontId="19" fillId="3" borderId="16" xfId="0" applyFont="1" applyFill="1" applyBorder="1" applyAlignment="1">
      <alignment horizontal="right"/>
    </xf>
    <xf numFmtId="0" fontId="24" fillId="3" borderId="1" xfId="0" applyFont="1" applyFill="1" applyBorder="1" applyAlignment="1">
      <alignment horizontal="left"/>
    </xf>
    <xf numFmtId="0" fontId="19" fillId="3" borderId="22" xfId="0" applyFont="1" applyFill="1" applyBorder="1" applyAlignment="1">
      <alignment horizontal="right"/>
    </xf>
    <xf numFmtId="0" fontId="16" fillId="6" borderId="22" xfId="0" applyFont="1" applyFill="1" applyBorder="1"/>
    <xf numFmtId="0" fontId="27" fillId="6" borderId="1" xfId="0" applyFont="1" applyFill="1" applyBorder="1" applyAlignment="1">
      <alignment horizontal="right"/>
    </xf>
    <xf numFmtId="3" fontId="6" fillId="6" borderId="22" xfId="0" applyNumberFormat="1" applyFont="1" applyFill="1" applyBorder="1" applyAlignment="1">
      <alignment horizontal="right"/>
    </xf>
    <xf numFmtId="166" fontId="25" fillId="6" borderId="1" xfId="0" applyNumberFormat="1" applyFont="1" applyFill="1" applyBorder="1"/>
    <xf numFmtId="166" fontId="25" fillId="6" borderId="22" xfId="0" applyNumberFormat="1" applyFont="1" applyFill="1" applyBorder="1"/>
    <xf numFmtId="166" fontId="16" fillId="6" borderId="1" xfId="0" applyNumberFormat="1" applyFont="1" applyFill="1" applyBorder="1"/>
    <xf numFmtId="165" fontId="6" fillId="6" borderId="1" xfId="0" applyNumberFormat="1" applyFont="1" applyFill="1" applyBorder="1"/>
    <xf numFmtId="165" fontId="16" fillId="6" borderId="22" xfId="0" applyNumberFormat="1" applyFont="1" applyFill="1" applyBorder="1"/>
    <xf numFmtId="166" fontId="14" fillId="6" borderId="1" xfId="0" applyNumberFormat="1" applyFont="1" applyFill="1" applyBorder="1"/>
    <xf numFmtId="166" fontId="16" fillId="6" borderId="22" xfId="0" applyNumberFormat="1" applyFont="1" applyFill="1" applyBorder="1"/>
    <xf numFmtId="44" fontId="6" fillId="6" borderId="1" xfId="0" applyNumberFormat="1" applyFont="1" applyFill="1" applyBorder="1"/>
    <xf numFmtId="44" fontId="16" fillId="6" borderId="1" xfId="0" applyNumberFormat="1" applyFont="1" applyFill="1" applyBorder="1"/>
    <xf numFmtId="44" fontId="16" fillId="6" borderId="22" xfId="0" applyNumberFormat="1" applyFont="1" applyFill="1" applyBorder="1"/>
    <xf numFmtId="167" fontId="16" fillId="6" borderId="1" xfId="0" applyNumberFormat="1" applyFont="1" applyFill="1" applyBorder="1"/>
    <xf numFmtId="165" fontId="25" fillId="6" borderId="1" xfId="0" applyNumberFormat="1" applyFont="1" applyFill="1" applyBorder="1"/>
    <xf numFmtId="165" fontId="25" fillId="6" borderId="22" xfId="0" applyNumberFormat="1" applyFont="1" applyFill="1" applyBorder="1"/>
    <xf numFmtId="0" fontId="25" fillId="11" borderId="23" xfId="0" applyFont="1" applyFill="1" applyBorder="1" applyAlignment="1">
      <alignment horizontal="left" wrapText="1"/>
    </xf>
    <xf numFmtId="0" fontId="28" fillId="11" borderId="24" xfId="0" applyFont="1" applyFill="1" applyBorder="1" applyAlignment="1">
      <alignment horizontal="center"/>
    </xf>
    <xf numFmtId="168" fontId="25" fillId="11" borderId="24" xfId="0" applyNumberFormat="1" applyFont="1" applyFill="1" applyBorder="1" applyAlignment="1">
      <alignment horizontal="right"/>
    </xf>
    <xf numFmtId="0" fontId="16" fillId="6" borderId="24" xfId="0" applyFont="1" applyFill="1" applyBorder="1"/>
    <xf numFmtId="44" fontId="16" fillId="6" borderId="24" xfId="0" applyNumberFormat="1" applyFont="1" applyFill="1" applyBorder="1"/>
    <xf numFmtId="0" fontId="16" fillId="6" borderId="25" xfId="0" applyFont="1" applyFill="1" applyBorder="1"/>
    <xf numFmtId="0" fontId="19" fillId="12" borderId="15" xfId="0" applyFont="1" applyFill="1" applyBorder="1" applyAlignment="1">
      <alignment horizontal="left"/>
    </xf>
    <xf numFmtId="0" fontId="23" fillId="12" borderId="16" xfId="0" applyFont="1" applyFill="1" applyBorder="1" applyAlignment="1">
      <alignment horizontal="left"/>
    </xf>
    <xf numFmtId="0" fontId="19" fillId="12" borderId="16" xfId="0" applyFont="1" applyFill="1" applyBorder="1" applyAlignment="1">
      <alignment horizontal="right"/>
    </xf>
    <xf numFmtId="0" fontId="23" fillId="12" borderId="20" xfId="0" applyFont="1" applyFill="1" applyBorder="1" applyAlignment="1">
      <alignment horizontal="left"/>
    </xf>
    <xf numFmtId="0" fontId="24" fillId="12" borderId="21" xfId="0" applyFont="1" applyFill="1" applyBorder="1" applyAlignment="1">
      <alignment horizontal="left"/>
    </xf>
    <xf numFmtId="0" fontId="24" fillId="12" borderId="1" xfId="0" applyFont="1" applyFill="1" applyBorder="1" applyAlignment="1">
      <alignment horizontal="left"/>
    </xf>
    <xf numFmtId="0" fontId="18" fillId="12" borderId="1" xfId="0" applyFont="1" applyFill="1" applyBorder="1" applyAlignment="1">
      <alignment horizontal="right"/>
    </xf>
    <xf numFmtId="0" fontId="18" fillId="12" borderId="22" xfId="0" applyFont="1" applyFill="1" applyBorder="1" applyAlignment="1">
      <alignment horizontal="right"/>
    </xf>
    <xf numFmtId="9" fontId="6" fillId="6" borderId="1" xfId="0" applyNumberFormat="1" applyFont="1" applyFill="1" applyBorder="1" applyAlignment="1">
      <alignment horizontal="right"/>
    </xf>
    <xf numFmtId="9" fontId="6" fillId="6" borderId="22" xfId="0" applyNumberFormat="1" applyFont="1" applyFill="1" applyBorder="1" applyAlignment="1">
      <alignment horizontal="right"/>
    </xf>
    <xf numFmtId="0" fontId="14" fillId="6" borderId="34" xfId="0" applyFont="1" applyFill="1" applyBorder="1" applyAlignment="1">
      <alignment horizontal="right"/>
    </xf>
    <xf numFmtId="0" fontId="16" fillId="6" borderId="35" xfId="0" applyFont="1" applyFill="1" applyBorder="1" applyAlignment="1">
      <alignment horizontal="center"/>
    </xf>
    <xf numFmtId="167" fontId="14" fillId="6" borderId="35" xfId="0" applyNumberFormat="1" applyFont="1" applyFill="1" applyBorder="1"/>
    <xf numFmtId="167" fontId="14" fillId="6" borderId="36" xfId="0" applyNumberFormat="1" applyFont="1" applyFill="1" applyBorder="1"/>
    <xf numFmtId="0" fontId="6" fillId="3" borderId="16" xfId="0" applyFont="1" applyFill="1" applyBorder="1" applyAlignment="1">
      <alignment vertical="center"/>
    </xf>
    <xf numFmtId="0" fontId="6" fillId="3" borderId="16" xfId="0" applyFont="1" applyFill="1" applyBorder="1"/>
    <xf numFmtId="0" fontId="6" fillId="3" borderId="20" xfId="0" applyFont="1" applyFill="1" applyBorder="1"/>
    <xf numFmtId="0" fontId="16" fillId="10" borderId="21" xfId="0" applyFont="1" applyFill="1" applyBorder="1" applyAlignment="1">
      <alignment horizontal="right"/>
    </xf>
    <xf numFmtId="44" fontId="26" fillId="6" borderId="1" xfId="0" applyNumberFormat="1" applyFont="1" applyFill="1" applyBorder="1"/>
    <xf numFmtId="9" fontId="6" fillId="10" borderId="1" xfId="0" applyNumberFormat="1" applyFont="1" applyFill="1" applyBorder="1"/>
    <xf numFmtId="9" fontId="26" fillId="10" borderId="24" xfId="0" applyNumberFormat="1" applyFont="1" applyFill="1" applyBorder="1"/>
    <xf numFmtId="0" fontId="16" fillId="10" borderId="25" xfId="0" applyFont="1" applyFill="1" applyBorder="1"/>
    <xf numFmtId="0" fontId="18" fillId="3" borderId="1" xfId="0" applyFont="1" applyFill="1" applyBorder="1" applyAlignment="1">
      <alignment horizontal="right"/>
    </xf>
    <xf numFmtId="0" fontId="18" fillId="3" borderId="22" xfId="0" applyFont="1" applyFill="1" applyBorder="1" applyAlignment="1">
      <alignment horizontal="right"/>
    </xf>
    <xf numFmtId="0" fontId="16" fillId="6" borderId="21" xfId="0" applyFont="1" applyFill="1" applyBorder="1" applyAlignment="1">
      <alignment horizontal="right"/>
    </xf>
    <xf numFmtId="169" fontId="16" fillId="6" borderId="1" xfId="0" applyNumberFormat="1" applyFont="1" applyFill="1" applyBorder="1"/>
    <xf numFmtId="0" fontId="19" fillId="9" borderId="16" xfId="0" applyFont="1" applyFill="1" applyBorder="1" applyAlignment="1">
      <alignment horizontal="right"/>
    </xf>
    <xf numFmtId="0" fontId="14" fillId="10" borderId="22" xfId="0" applyFont="1" applyFill="1" applyBorder="1"/>
    <xf numFmtId="0" fontId="13" fillId="3" borderId="15" xfId="0" applyFont="1" applyFill="1" applyBorder="1"/>
    <xf numFmtId="0" fontId="19" fillId="3" borderId="16" xfId="0" applyFont="1" applyFill="1" applyBorder="1"/>
    <xf numFmtId="0" fontId="16" fillId="3" borderId="16" xfId="0" applyFont="1" applyFill="1" applyBorder="1"/>
    <xf numFmtId="0" fontId="16" fillId="3" borderId="20" xfId="0" applyFont="1" applyFill="1" applyBorder="1"/>
    <xf numFmtId="0" fontId="16" fillId="6" borderId="21" xfId="0" applyFont="1" applyFill="1" applyBorder="1"/>
    <xf numFmtId="10" fontId="22" fillId="6" borderId="1" xfId="0" applyNumberFormat="1" applyFont="1" applyFill="1" applyBorder="1" applyAlignment="1">
      <alignment horizontal="right"/>
    </xf>
    <xf numFmtId="9" fontId="6" fillId="6" borderId="1" xfId="0" applyNumberFormat="1" applyFont="1" applyFill="1" applyBorder="1"/>
    <xf numFmtId="0" fontId="27" fillId="6" borderId="21" xfId="0" applyFont="1" applyFill="1" applyBorder="1" applyAlignment="1">
      <alignment horizontal="right"/>
    </xf>
    <xf numFmtId="9" fontId="36" fillId="6" borderId="1" xfId="0" applyNumberFormat="1" applyFont="1" applyFill="1" applyBorder="1"/>
    <xf numFmtId="167" fontId="22" fillId="6" borderId="1" xfId="0" applyNumberFormat="1" applyFont="1" applyFill="1" applyBorder="1" applyAlignment="1">
      <alignment horizontal="right"/>
    </xf>
    <xf numFmtId="0" fontId="6" fillId="6" borderId="21" xfId="0" applyFont="1" applyFill="1" applyBorder="1" applyAlignment="1">
      <alignment horizontal="left"/>
    </xf>
    <xf numFmtId="0" fontId="19" fillId="3" borderId="1" xfId="0" applyFont="1" applyFill="1" applyBorder="1"/>
    <xf numFmtId="3" fontId="22" fillId="6" borderId="1" xfId="0" applyNumberFormat="1" applyFont="1" applyFill="1" applyBorder="1"/>
    <xf numFmtId="43" fontId="26" fillId="6" borderId="1" xfId="0" applyNumberFormat="1" applyFont="1" applyFill="1" applyBorder="1" applyAlignment="1">
      <alignment horizontal="right"/>
    </xf>
    <xf numFmtId="43" fontId="26" fillId="6" borderId="1" xfId="0" applyNumberFormat="1" applyFont="1" applyFill="1" applyBorder="1"/>
    <xf numFmtId="4" fontId="26" fillId="6" borderId="1" xfId="0" applyNumberFormat="1" applyFont="1" applyFill="1" applyBorder="1"/>
    <xf numFmtId="4" fontId="26" fillId="6" borderId="1" xfId="0" applyNumberFormat="1" applyFont="1" applyFill="1" applyBorder="1" applyAlignment="1">
      <alignment horizontal="right"/>
    </xf>
    <xf numFmtId="0" fontId="19" fillId="3" borderId="1" xfId="0" applyFont="1" applyFill="1" applyBorder="1" applyAlignment="1">
      <alignment horizontal="center"/>
    </xf>
    <xf numFmtId="44" fontId="26" fillId="6" borderId="1" xfId="0" applyNumberFormat="1" applyFont="1" applyFill="1" applyBorder="1" applyAlignment="1">
      <alignment horizontal="right"/>
    </xf>
    <xf numFmtId="4" fontId="26" fillId="14" borderId="1" xfId="0" applyNumberFormat="1" applyFont="1" applyFill="1" applyBorder="1"/>
    <xf numFmtId="44" fontId="26" fillId="14" borderId="1" xfId="0" applyNumberFormat="1" applyFont="1" applyFill="1" applyBorder="1" applyAlignment="1">
      <alignment horizontal="right"/>
    </xf>
    <xf numFmtId="166" fontId="26" fillId="6" borderId="1" xfId="0" applyNumberFormat="1" applyFont="1" applyFill="1" applyBorder="1"/>
    <xf numFmtId="3" fontId="25" fillId="6" borderId="1" xfId="0" applyNumberFormat="1" applyFont="1" applyFill="1" applyBorder="1"/>
    <xf numFmtId="0" fontId="6" fillId="6" borderId="24" xfId="0" applyFont="1" applyFill="1" applyBorder="1" applyAlignment="1">
      <alignment horizontal="center"/>
    </xf>
    <xf numFmtId="167" fontId="6" fillId="6" borderId="24" xfId="0" applyNumberFormat="1" applyFont="1" applyFill="1" applyBorder="1"/>
    <xf numFmtId="0" fontId="6" fillId="6" borderId="1" xfId="0" applyFont="1" applyFill="1" applyBorder="1" applyAlignment="1">
      <alignment horizontal="right"/>
    </xf>
    <xf numFmtId="167" fontId="6" fillId="6" borderId="1" xfId="0" applyNumberFormat="1" applyFont="1" applyFill="1" applyBorder="1"/>
    <xf numFmtId="0" fontId="20" fillId="6" borderId="1" xfId="0" applyFont="1" applyFill="1" applyBorder="1"/>
    <xf numFmtId="166" fontId="6" fillId="6" borderId="1" xfId="0" applyNumberFormat="1" applyFont="1" applyFill="1" applyBorder="1" applyAlignment="1">
      <alignment horizontal="right"/>
    </xf>
    <xf numFmtId="0" fontId="37" fillId="6" borderId="1" xfId="0" applyFont="1" applyFill="1" applyBorder="1" applyAlignment="1">
      <alignment horizontal="center"/>
    </xf>
    <xf numFmtId="167" fontId="6" fillId="6" borderId="1" xfId="0" applyNumberFormat="1" applyFont="1" applyFill="1" applyBorder="1" applyAlignment="1">
      <alignment horizontal="right"/>
    </xf>
    <xf numFmtId="10" fontId="6" fillId="6" borderId="1" xfId="0" applyNumberFormat="1" applyFont="1" applyFill="1" applyBorder="1" applyAlignment="1">
      <alignment horizontal="right"/>
    </xf>
    <xf numFmtId="10" fontId="6" fillId="6" borderId="22" xfId="0" applyNumberFormat="1" applyFont="1" applyFill="1" applyBorder="1" applyAlignment="1">
      <alignment horizontal="right"/>
    </xf>
    <xf numFmtId="0" fontId="14" fillId="6" borderId="23" xfId="0" applyFont="1" applyFill="1" applyBorder="1" applyAlignment="1">
      <alignment horizontal="right"/>
    </xf>
    <xf numFmtId="0" fontId="14" fillId="6" borderId="24" xfId="0" applyFont="1" applyFill="1" applyBorder="1" applyAlignment="1">
      <alignment horizontal="right"/>
    </xf>
    <xf numFmtId="9" fontId="25" fillId="6" borderId="24" xfId="0" applyNumberFormat="1" applyFont="1" applyFill="1" applyBorder="1" applyAlignment="1">
      <alignment horizontal="right"/>
    </xf>
    <xf numFmtId="9" fontId="25" fillId="6" borderId="25" xfId="0" applyNumberFormat="1" applyFont="1" applyFill="1" applyBorder="1" applyAlignment="1">
      <alignment horizontal="right"/>
    </xf>
    <xf numFmtId="0" fontId="17" fillId="6" borderId="1" xfId="0" applyFont="1" applyFill="1" applyBorder="1"/>
    <xf numFmtId="0" fontId="14" fillId="6" borderId="1" xfId="0" applyFont="1" applyFill="1" applyBorder="1" applyAlignment="1">
      <alignment vertical="center"/>
    </xf>
    <xf numFmtId="3" fontId="26" fillId="10" borderId="1" xfId="0" applyNumberFormat="1" applyFont="1" applyFill="1" applyBorder="1"/>
    <xf numFmtId="0" fontId="19" fillId="10" borderId="1" xfId="0" applyFont="1" applyFill="1" applyBorder="1" applyAlignment="1">
      <alignment horizontal="right"/>
    </xf>
    <xf numFmtId="9" fontId="16" fillId="10" borderId="1" xfId="0" applyNumberFormat="1" applyFont="1" applyFill="1" applyBorder="1"/>
    <xf numFmtId="44" fontId="26" fillId="10" borderId="1" xfId="0" applyNumberFormat="1" applyFont="1" applyFill="1" applyBorder="1"/>
    <xf numFmtId="10" fontId="26" fillId="6" borderId="1" xfId="0" applyNumberFormat="1" applyFont="1" applyFill="1" applyBorder="1"/>
    <xf numFmtId="9" fontId="6" fillId="10" borderId="24" xfId="0" applyNumberFormat="1" applyFont="1" applyFill="1" applyBorder="1"/>
    <xf numFmtId="0" fontId="19" fillId="12" borderId="1" xfId="0" applyFont="1" applyFill="1" applyBorder="1" applyAlignment="1">
      <alignment horizontal="right"/>
    </xf>
    <xf numFmtId="0" fontId="19" fillId="12" borderId="22" xfId="0" applyFont="1" applyFill="1" applyBorder="1" applyAlignment="1">
      <alignment horizontal="right"/>
    </xf>
    <xf numFmtId="0" fontId="19" fillId="9" borderId="20" xfId="0" applyFont="1" applyFill="1" applyBorder="1"/>
    <xf numFmtId="9" fontId="16" fillId="10" borderId="1" xfId="0" applyNumberFormat="1" applyFont="1" applyFill="1" applyBorder="1" applyAlignment="1">
      <alignment horizontal="right"/>
    </xf>
    <xf numFmtId="0" fontId="17" fillId="10" borderId="1" xfId="0" applyFont="1" applyFill="1" applyBorder="1"/>
    <xf numFmtId="10" fontId="26" fillId="10" borderId="1" xfId="0" applyNumberFormat="1" applyFont="1" applyFill="1" applyBorder="1"/>
    <xf numFmtId="0" fontId="20" fillId="10" borderId="1" xfId="0" applyFont="1" applyFill="1" applyBorder="1"/>
    <xf numFmtId="167" fontId="6" fillId="10" borderId="24" xfId="0" applyNumberFormat="1" applyFont="1" applyFill="1" applyBorder="1"/>
    <xf numFmtId="0" fontId="20" fillId="10" borderId="24" xfId="0" applyFont="1" applyFill="1" applyBorder="1"/>
    <xf numFmtId="0" fontId="25" fillId="9" borderId="23" xfId="0" applyFont="1" applyFill="1" applyBorder="1" applyAlignment="1">
      <alignment horizontal="left" wrapText="1"/>
    </xf>
    <xf numFmtId="0" fontId="28" fillId="9" borderId="24" xfId="0" applyFont="1" applyFill="1" applyBorder="1" applyAlignment="1">
      <alignment horizontal="center"/>
    </xf>
    <xf numFmtId="168" fontId="25" fillId="9" borderId="24" xfId="0" applyNumberFormat="1" applyFont="1" applyFill="1" applyBorder="1" applyAlignment="1">
      <alignment horizontal="right"/>
    </xf>
    <xf numFmtId="0" fontId="28" fillId="10" borderId="1" xfId="0" applyFont="1" applyFill="1" applyBorder="1" applyAlignment="1">
      <alignment horizontal="center"/>
    </xf>
    <xf numFmtId="0" fontId="27" fillId="10" borderId="1" xfId="0" applyFont="1" applyFill="1" applyBorder="1" applyAlignment="1">
      <alignment horizontal="center"/>
    </xf>
    <xf numFmtId="0" fontId="38" fillId="6" borderId="1" xfId="0" applyFont="1" applyFill="1" applyBorder="1"/>
    <xf numFmtId="0" fontId="21" fillId="10" borderId="21" xfId="0" applyFont="1" applyFill="1" applyBorder="1" applyAlignment="1">
      <alignment horizontal="right"/>
    </xf>
    <xf numFmtId="0" fontId="25" fillId="10" borderId="1" xfId="0" applyFont="1" applyFill="1" applyBorder="1"/>
    <xf numFmtId="170" fontId="26" fillId="6" borderId="1" xfId="0" applyNumberFormat="1" applyFont="1" applyFill="1" applyBorder="1"/>
    <xf numFmtId="0" fontId="16" fillId="10" borderId="1" xfId="0" applyFont="1" applyFill="1" applyBorder="1" applyAlignment="1"/>
    <xf numFmtId="0" fontId="16" fillId="10" borderId="1" xfId="0" applyFont="1" applyFill="1" applyBorder="1" applyAlignment="1">
      <alignment horizontal="center"/>
    </xf>
    <xf numFmtId="9" fontId="6" fillId="10" borderId="1" xfId="0" applyNumberFormat="1" applyFont="1" applyFill="1" applyBorder="1" applyAlignment="1">
      <alignment horizontal="right"/>
    </xf>
    <xf numFmtId="0" fontId="27" fillId="10" borderId="21" xfId="0" applyFont="1" applyFill="1" applyBorder="1" applyAlignment="1">
      <alignment horizontal="right"/>
    </xf>
    <xf numFmtId="9" fontId="36" fillId="6" borderId="1" xfId="0" applyNumberFormat="1" applyFont="1" applyFill="1" applyBorder="1" applyAlignment="1">
      <alignment horizontal="right"/>
    </xf>
    <xf numFmtId="0" fontId="6" fillId="10" borderId="23" xfId="0" applyFont="1" applyFill="1" applyBorder="1" applyAlignment="1">
      <alignment horizontal="left"/>
    </xf>
    <xf numFmtId="0" fontId="27" fillId="10" borderId="24" xfId="0" applyFont="1" applyFill="1" applyBorder="1" applyAlignment="1">
      <alignment horizontal="center"/>
    </xf>
    <xf numFmtId="9" fontId="6" fillId="10" borderId="24" xfId="0" applyNumberFormat="1" applyFont="1" applyFill="1" applyBorder="1" applyAlignment="1">
      <alignment horizontal="right"/>
    </xf>
    <xf numFmtId="9" fontId="22" fillId="6" borderId="1" xfId="0" applyNumberFormat="1" applyFont="1" applyFill="1" applyBorder="1" applyAlignment="1">
      <alignment horizontal="right"/>
    </xf>
    <xf numFmtId="0" fontId="39" fillId="6" borderId="1" xfId="0" applyFont="1" applyFill="1" applyBorder="1"/>
    <xf numFmtId="0" fontId="21" fillId="6" borderId="21" xfId="0" applyFont="1" applyFill="1" applyBorder="1" applyAlignment="1">
      <alignment horizontal="right"/>
    </xf>
    <xf numFmtId="0" fontId="23" fillId="6" borderId="1" xfId="0" applyFont="1" applyFill="1" applyBorder="1" applyAlignment="1">
      <alignment horizontal="center"/>
    </xf>
    <xf numFmtId="166" fontId="21" fillId="6" borderId="1" xfId="0" applyNumberFormat="1" applyFont="1" applyFill="1" applyBorder="1"/>
    <xf numFmtId="166" fontId="21" fillId="6" borderId="22" xfId="0" applyNumberFormat="1" applyFont="1" applyFill="1" applyBorder="1"/>
    <xf numFmtId="171" fontId="16" fillId="6" borderId="1" xfId="0" applyNumberFormat="1" applyFont="1" applyFill="1" applyBorder="1"/>
    <xf numFmtId="171" fontId="16" fillId="6" borderId="22" xfId="0" applyNumberFormat="1" applyFont="1" applyFill="1" applyBorder="1"/>
    <xf numFmtId="166" fontId="39" fillId="6" borderId="1" xfId="0" applyNumberFormat="1" applyFont="1" applyFill="1" applyBorder="1"/>
    <xf numFmtId="166" fontId="22" fillId="6" borderId="1" xfId="0" applyNumberFormat="1" applyFont="1" applyFill="1" applyBorder="1"/>
    <xf numFmtId="165" fontId="22" fillId="6" borderId="1" xfId="0" applyNumberFormat="1" applyFont="1" applyFill="1" applyBorder="1"/>
    <xf numFmtId="165" fontId="22" fillId="6" borderId="22" xfId="0" applyNumberFormat="1" applyFont="1" applyFill="1" applyBorder="1"/>
    <xf numFmtId="43" fontId="6" fillId="6" borderId="1" xfId="0" applyNumberFormat="1" applyFont="1" applyFill="1" applyBorder="1"/>
    <xf numFmtId="43" fontId="6" fillId="6" borderId="22" xfId="0" applyNumberFormat="1" applyFont="1" applyFill="1" applyBorder="1"/>
    <xf numFmtId="166" fontId="22" fillId="6" borderId="22" xfId="0" applyNumberFormat="1" applyFont="1" applyFill="1" applyBorder="1"/>
    <xf numFmtId="165" fontId="6" fillId="6" borderId="22" xfId="0" applyNumberFormat="1" applyFont="1" applyFill="1" applyBorder="1"/>
    <xf numFmtId="165" fontId="21" fillId="6" borderId="1" xfId="0" applyNumberFormat="1" applyFont="1" applyFill="1" applyBorder="1"/>
    <xf numFmtId="165" fontId="21" fillId="6" borderId="22" xfId="0" applyNumberFormat="1" applyFont="1" applyFill="1" applyBorder="1"/>
    <xf numFmtId="0" fontId="22" fillId="6" borderId="21" xfId="0" applyFont="1" applyFill="1" applyBorder="1" applyAlignment="1">
      <alignment horizontal="right"/>
    </xf>
    <xf numFmtId="43" fontId="16" fillId="6" borderId="1" xfId="0" applyNumberFormat="1" applyFont="1" applyFill="1" applyBorder="1"/>
    <xf numFmtId="43" fontId="16" fillId="6" borderId="22" xfId="0" applyNumberFormat="1" applyFont="1" applyFill="1" applyBorder="1"/>
    <xf numFmtId="172" fontId="6" fillId="6" borderId="1" xfId="0" applyNumberFormat="1" applyFont="1" applyFill="1" applyBorder="1"/>
    <xf numFmtId="172" fontId="6" fillId="6" borderId="22" xfId="0" applyNumberFormat="1" applyFont="1" applyFill="1" applyBorder="1"/>
    <xf numFmtId="9" fontId="6" fillId="6" borderId="24" xfId="0" applyNumberFormat="1" applyFont="1" applyFill="1" applyBorder="1" applyAlignment="1">
      <alignment horizontal="right"/>
    </xf>
    <xf numFmtId="9" fontId="6" fillId="6" borderId="25" xfId="0" applyNumberFormat="1" applyFont="1" applyFill="1" applyBorder="1" applyAlignment="1">
      <alignment horizontal="right"/>
    </xf>
    <xf numFmtId="0" fontId="27" fillId="6" borderId="35" xfId="0" applyFont="1" applyFill="1" applyBorder="1" applyAlignment="1">
      <alignment horizontal="center"/>
    </xf>
    <xf numFmtId="0" fontId="20" fillId="0" borderId="0" xfId="0" applyFont="1" applyAlignment="1">
      <alignment horizontal="center"/>
    </xf>
    <xf numFmtId="10" fontId="22" fillId="6" borderId="1" xfId="0" applyNumberFormat="1" applyFont="1" applyFill="1" applyBorder="1"/>
    <xf numFmtId="10" fontId="26" fillId="15" borderId="1" xfId="0" applyNumberFormat="1" applyFont="1" applyFill="1" applyBorder="1"/>
    <xf numFmtId="167" fontId="26" fillId="15" borderId="1" xfId="0" applyNumberFormat="1" applyFont="1" applyFill="1" applyBorder="1"/>
    <xf numFmtId="0" fontId="40" fillId="0" borderId="0" xfId="0" applyFont="1" applyAlignment="1">
      <alignment horizontal="left" vertical="center" wrapText="1"/>
    </xf>
    <xf numFmtId="173" fontId="26" fillId="6" borderId="1" xfId="0" applyNumberFormat="1" applyFont="1" applyFill="1" applyBorder="1"/>
    <xf numFmtId="173" fontId="26" fillId="6" borderId="1" xfId="0" applyNumberFormat="1" applyFont="1" applyFill="1" applyBorder="1" applyAlignment="1">
      <alignment horizontal="right"/>
    </xf>
    <xf numFmtId="4" fontId="26" fillId="15" borderId="1" xfId="0" applyNumberFormat="1" applyFont="1" applyFill="1" applyBorder="1"/>
    <xf numFmtId="3" fontId="25" fillId="6" borderId="24" xfId="0" applyNumberFormat="1" applyFont="1" applyFill="1" applyBorder="1"/>
    <xf numFmtId="0" fontId="21" fillId="6" borderId="1" xfId="0" applyFont="1" applyFill="1" applyBorder="1"/>
    <xf numFmtId="0" fontId="6" fillId="6" borderId="24" xfId="0" applyFont="1" applyFill="1" applyBorder="1" applyAlignment="1">
      <alignment horizontal="right"/>
    </xf>
    <xf numFmtId="166" fontId="27" fillId="10" borderId="1" xfId="0" applyNumberFormat="1" applyFont="1" applyFill="1" applyBorder="1" applyAlignment="1">
      <alignment horizontal="center"/>
    </xf>
    <xf numFmtId="166" fontId="25" fillId="10" borderId="1" xfId="0" applyNumberFormat="1" applyFont="1" applyFill="1" applyBorder="1"/>
    <xf numFmtId="9" fontId="34" fillId="6" borderId="1" xfId="0" applyNumberFormat="1" applyFont="1" applyFill="1" applyBorder="1" applyAlignment="1">
      <alignment horizontal="right"/>
    </xf>
    <xf numFmtId="0" fontId="13" fillId="3" borderId="1" xfId="0" applyFont="1" applyFill="1" applyBorder="1" applyAlignment="1">
      <alignment horizontal="right"/>
    </xf>
    <xf numFmtId="0" fontId="25" fillId="16" borderId="23" xfId="0" applyFont="1" applyFill="1" applyBorder="1" applyAlignment="1">
      <alignment horizontal="left" wrapText="1"/>
    </xf>
    <xf numFmtId="0" fontId="25" fillId="16" borderId="24" xfId="0" applyFont="1" applyFill="1" applyBorder="1" applyAlignment="1">
      <alignment horizontal="center"/>
    </xf>
    <xf numFmtId="168" fontId="25" fillId="16" borderId="24" xfId="0" applyNumberFormat="1" applyFont="1" applyFill="1" applyBorder="1" applyAlignment="1">
      <alignment horizontal="right"/>
    </xf>
    <xf numFmtId="0" fontId="28" fillId="16" borderId="24" xfId="0" applyFont="1" applyFill="1" applyBorder="1" applyAlignment="1">
      <alignment horizontal="center"/>
    </xf>
    <xf numFmtId="167" fontId="6" fillId="6" borderId="22" xfId="0" applyNumberFormat="1" applyFont="1" applyFill="1" applyBorder="1" applyAlignment="1">
      <alignment horizontal="right"/>
    </xf>
    <xf numFmtId="0" fontId="27" fillId="6" borderId="24" xfId="0" applyFont="1" applyFill="1" applyBorder="1" applyAlignment="1">
      <alignment horizontal="right"/>
    </xf>
    <xf numFmtId="167" fontId="25" fillId="6" borderId="24" xfId="0" applyNumberFormat="1" applyFont="1" applyFill="1" applyBorder="1" applyAlignment="1">
      <alignment horizontal="right"/>
    </xf>
    <xf numFmtId="167" fontId="25" fillId="6" borderId="25" xfId="0" applyNumberFormat="1" applyFont="1" applyFill="1" applyBorder="1" applyAlignment="1">
      <alignment horizontal="right"/>
    </xf>
    <xf numFmtId="0" fontId="19" fillId="9" borderId="16" xfId="0" applyFont="1" applyFill="1" applyBorder="1" applyAlignment="1">
      <alignment horizontal="center"/>
    </xf>
    <xf numFmtId="0" fontId="19" fillId="10" borderId="1" xfId="0" applyFont="1" applyFill="1" applyBorder="1"/>
    <xf numFmtId="0" fontId="33" fillId="6" borderId="1" xfId="0" applyFont="1" applyFill="1" applyBorder="1" applyAlignment="1">
      <alignment horizontal="right"/>
    </xf>
    <xf numFmtId="0" fontId="33" fillId="6" borderId="1" xfId="0" applyFont="1" applyFill="1" applyBorder="1" applyAlignment="1">
      <alignment horizontal="center"/>
    </xf>
    <xf numFmtId="9" fontId="41" fillId="6" borderId="1" xfId="0" applyNumberFormat="1" applyFont="1" applyFill="1" applyBorder="1" applyAlignment="1">
      <alignment horizontal="right"/>
    </xf>
    <xf numFmtId="0" fontId="6" fillId="9" borderId="24" xfId="0" applyFont="1" applyFill="1" applyBorder="1" applyAlignment="1">
      <alignment horizontal="center"/>
    </xf>
    <xf numFmtId="0" fontId="25" fillId="6" borderId="24" xfId="0" applyFont="1" applyFill="1" applyBorder="1" applyAlignment="1">
      <alignment horizontal="right"/>
    </xf>
    <xf numFmtId="170" fontId="22" fillId="10" borderId="1" xfId="0" applyNumberFormat="1" applyFont="1" applyFill="1" applyBorder="1"/>
    <xf numFmtId="0" fontId="16" fillId="10" borderId="21" xfId="0" applyFont="1" applyFill="1" applyBorder="1" applyAlignment="1">
      <alignment horizontal="center"/>
    </xf>
    <xf numFmtId="170" fontId="6" fillId="10" borderId="1" xfId="0" applyNumberFormat="1" applyFont="1" applyFill="1" applyBorder="1"/>
    <xf numFmtId="170" fontId="6" fillId="10" borderId="1" xfId="0" applyNumberFormat="1" applyFont="1" applyFill="1" applyBorder="1" applyAlignment="1">
      <alignment horizontal="right"/>
    </xf>
    <xf numFmtId="0" fontId="1" fillId="10" borderId="1" xfId="0" applyFont="1" applyFill="1" applyBorder="1" applyAlignment="1">
      <alignment horizontal="center"/>
    </xf>
    <xf numFmtId="166" fontId="26" fillId="10" borderId="1" xfId="0" applyNumberFormat="1" applyFont="1" applyFill="1" applyBorder="1" applyAlignment="1">
      <alignment horizontal="right"/>
    </xf>
    <xf numFmtId="166" fontId="26" fillId="4" borderId="1" xfId="0" applyNumberFormat="1" applyFont="1" applyFill="1" applyBorder="1" applyAlignment="1">
      <alignment horizontal="right"/>
    </xf>
    <xf numFmtId="9" fontId="26" fillId="10" borderId="24" xfId="0" applyNumberFormat="1" applyFont="1" applyFill="1" applyBorder="1" applyAlignment="1">
      <alignment horizontal="right"/>
    </xf>
    <xf numFmtId="166" fontId="6" fillId="6" borderId="22" xfId="0" applyNumberFormat="1" applyFont="1" applyFill="1" applyBorder="1"/>
    <xf numFmtId="0" fontId="14" fillId="6" borderId="21" xfId="0" applyFont="1" applyFill="1" applyBorder="1" applyAlignment="1">
      <alignment horizontal="right"/>
    </xf>
    <xf numFmtId="0" fontId="25" fillId="6" borderId="1" xfId="0" applyFont="1" applyFill="1" applyBorder="1" applyAlignment="1">
      <alignment horizontal="center"/>
    </xf>
    <xf numFmtId="0" fontId="25" fillId="11" borderId="24" xfId="0" applyFont="1" applyFill="1" applyBorder="1" applyAlignment="1">
      <alignment horizontal="center"/>
    </xf>
    <xf numFmtId="0" fontId="29" fillId="6" borderId="1" xfId="0" applyFont="1" applyFill="1" applyBorder="1"/>
    <xf numFmtId="0" fontId="13" fillId="9" borderId="15" xfId="0" applyFont="1" applyFill="1" applyBorder="1" applyAlignment="1">
      <alignment horizontal="center"/>
    </xf>
    <xf numFmtId="166" fontId="38" fillId="4" borderId="1" xfId="0" applyNumberFormat="1" applyFont="1" applyFill="1" applyBorder="1" applyAlignment="1">
      <alignment horizontal="right"/>
    </xf>
    <xf numFmtId="0" fontId="44" fillId="6" borderId="1" xfId="0" applyFont="1" applyFill="1" applyBorder="1"/>
    <xf numFmtId="0" fontId="44" fillId="0" borderId="0" xfId="0" applyFont="1"/>
    <xf numFmtId="0" fontId="44" fillId="0" borderId="0" xfId="0" applyFont="1" applyAlignment="1">
      <alignment horizontal="center"/>
    </xf>
    <xf numFmtId="0" fontId="45" fillId="10" borderId="1" xfId="0" applyFont="1" applyFill="1" applyBorder="1" applyAlignment="1">
      <alignment horizontal="center"/>
    </xf>
    <xf numFmtId="166" fontId="22" fillId="6" borderId="1" xfId="0" applyNumberFormat="1" applyFont="1" applyFill="1" applyBorder="1" applyAlignment="1">
      <alignment horizontal="right"/>
    </xf>
    <xf numFmtId="43" fontId="25" fillId="6" borderId="1" xfId="0" applyNumberFormat="1" applyFont="1" applyFill="1" applyBorder="1"/>
    <xf numFmtId="43" fontId="25" fillId="6" borderId="22" xfId="0" applyNumberFormat="1" applyFont="1" applyFill="1" applyBorder="1"/>
    <xf numFmtId="16" fontId="16" fillId="6" borderId="1" xfId="0" applyNumberFormat="1" applyFont="1" applyFill="1" applyBorder="1"/>
    <xf numFmtId="0" fontId="16" fillId="10" borderId="21" xfId="0" applyFont="1" applyFill="1" applyBorder="1" applyAlignment="1">
      <alignment wrapText="1"/>
    </xf>
    <xf numFmtId="166" fontId="6" fillId="10" borderId="1" xfId="0" applyNumberFormat="1" applyFont="1" applyFill="1" applyBorder="1" applyAlignment="1">
      <alignment horizontal="right"/>
    </xf>
    <xf numFmtId="0" fontId="47" fillId="10" borderId="1" xfId="0" applyFont="1" applyFill="1" applyBorder="1"/>
    <xf numFmtId="0" fontId="48" fillId="10" borderId="1" xfId="0" applyFont="1" applyFill="1" applyBorder="1"/>
    <xf numFmtId="167" fontId="6" fillId="10" borderId="1" xfId="0" applyNumberFormat="1" applyFont="1" applyFill="1" applyBorder="1" applyAlignment="1">
      <alignment horizontal="right"/>
    </xf>
    <xf numFmtId="0" fontId="16" fillId="10" borderId="21" xfId="0" applyFont="1" applyFill="1" applyBorder="1" applyAlignment="1">
      <alignment horizontal="left"/>
    </xf>
    <xf numFmtId="9" fontId="26" fillId="4" borderId="1" xfId="0" applyNumberFormat="1" applyFont="1" applyFill="1" applyBorder="1" applyAlignment="1">
      <alignment horizontal="right"/>
    </xf>
    <xf numFmtId="0" fontId="45" fillId="10" borderId="21" xfId="0" applyFont="1" applyFill="1" applyBorder="1" applyAlignment="1">
      <alignment horizontal="right"/>
    </xf>
    <xf numFmtId="9" fontId="36" fillId="4" borderId="1" xfId="0" applyNumberFormat="1" applyFont="1" applyFill="1" applyBorder="1" applyAlignment="1">
      <alignment horizontal="right"/>
    </xf>
    <xf numFmtId="0" fontId="23" fillId="3" borderId="1" xfId="0" applyFont="1" applyFill="1" applyBorder="1" applyAlignment="1">
      <alignment horizontal="left"/>
    </xf>
    <xf numFmtId="0" fontId="23" fillId="3" borderId="22" xfId="0" applyFont="1" applyFill="1" applyBorder="1" applyAlignment="1">
      <alignment horizontal="left"/>
    </xf>
    <xf numFmtId="166" fontId="26" fillId="4" borderId="1" xfId="0" applyNumberFormat="1" applyFont="1" applyFill="1" applyBorder="1"/>
    <xf numFmtId="0" fontId="16" fillId="6" borderId="1" xfId="0" applyFont="1" applyFill="1" applyBorder="1" applyAlignment="1">
      <alignment horizontal="left"/>
    </xf>
    <xf numFmtId="166" fontId="26" fillId="6" borderId="1" xfId="0" applyNumberFormat="1" applyFont="1" applyFill="1" applyBorder="1" applyAlignment="1">
      <alignment horizontal="right"/>
    </xf>
    <xf numFmtId="0" fontId="49" fillId="3" borderId="1" xfId="0" applyFont="1" applyFill="1" applyBorder="1" applyAlignment="1">
      <alignment horizontal="right"/>
    </xf>
    <xf numFmtId="165" fontId="6" fillId="6" borderId="22" xfId="0" applyNumberFormat="1" applyFont="1" applyFill="1" applyBorder="1" applyAlignment="1">
      <alignment horizontal="right"/>
    </xf>
    <xf numFmtId="3" fontId="6" fillId="6" borderId="24" xfId="0" applyNumberFormat="1" applyFont="1" applyFill="1" applyBorder="1" applyAlignment="1">
      <alignment horizontal="right"/>
    </xf>
    <xf numFmtId="3" fontId="6" fillId="6" borderId="25" xfId="0" applyNumberFormat="1" applyFont="1" applyFill="1" applyBorder="1" applyAlignment="1">
      <alignment horizontal="right"/>
    </xf>
    <xf numFmtId="173" fontId="6" fillId="6" borderId="1" xfId="0" applyNumberFormat="1" applyFont="1" applyFill="1" applyBorder="1" applyAlignment="1">
      <alignment horizontal="right"/>
    </xf>
    <xf numFmtId="4" fontId="6" fillId="6" borderId="1" xfId="0" applyNumberFormat="1" applyFont="1" applyFill="1" applyBorder="1" applyAlignment="1">
      <alignment horizontal="right"/>
    </xf>
    <xf numFmtId="3" fontId="17" fillId="6" borderId="1" xfId="0" applyNumberFormat="1" applyFont="1" applyFill="1" applyBorder="1" applyAlignment="1">
      <alignment horizontal="right"/>
    </xf>
    <xf numFmtId="172" fontId="6" fillId="6" borderId="1" xfId="0" applyNumberFormat="1" applyFont="1" applyFill="1" applyBorder="1" applyAlignment="1">
      <alignment horizontal="right"/>
    </xf>
    <xf numFmtId="0" fontId="22" fillId="6" borderId="1" xfId="0" applyFont="1" applyFill="1" applyBorder="1" applyAlignment="1">
      <alignment horizontal="right"/>
    </xf>
    <xf numFmtId="0" fontId="25" fillId="6" borderId="1" xfId="0" applyFont="1" applyFill="1" applyBorder="1" applyAlignment="1">
      <alignment horizontal="left"/>
    </xf>
    <xf numFmtId="0" fontId="16" fillId="0" borderId="0" xfId="0" applyFont="1"/>
    <xf numFmtId="0" fontId="14" fillId="10" borderId="21" xfId="0" applyFont="1" applyFill="1" applyBorder="1" applyAlignment="1">
      <alignment wrapText="1"/>
    </xf>
    <xf numFmtId="9" fontId="26" fillId="10" borderId="1" xfId="0" applyNumberFormat="1" applyFont="1" applyFill="1" applyBorder="1" applyAlignment="1">
      <alignment horizontal="right"/>
    </xf>
    <xf numFmtId="0" fontId="14" fillId="10" borderId="21" xfId="0" applyFont="1" applyFill="1" applyBorder="1"/>
    <xf numFmtId="172" fontId="26" fillId="4" borderId="1" xfId="0" applyNumberFormat="1" applyFont="1" applyFill="1" applyBorder="1" applyAlignment="1">
      <alignment horizontal="right"/>
    </xf>
    <xf numFmtId="0" fontId="14" fillId="10" borderId="21" xfId="0" applyFont="1" applyFill="1" applyBorder="1" applyAlignment="1">
      <alignment horizontal="left"/>
    </xf>
    <xf numFmtId="167" fontId="26" fillId="4" borderId="1" xfId="0" applyNumberFormat="1" applyFont="1" applyFill="1" applyBorder="1" applyAlignment="1">
      <alignment horizontal="right"/>
    </xf>
    <xf numFmtId="0" fontId="16" fillId="10" borderId="23" xfId="0" applyFont="1" applyFill="1" applyBorder="1" applyAlignment="1">
      <alignment horizontal="right"/>
    </xf>
    <xf numFmtId="0" fontId="45" fillId="10" borderId="24" xfId="0" applyFont="1" applyFill="1" applyBorder="1" applyAlignment="1">
      <alignment horizontal="center"/>
    </xf>
    <xf numFmtId="0" fontId="16" fillId="6" borderId="1" xfId="0" applyFont="1" applyFill="1" applyBorder="1" applyAlignment="1">
      <alignment horizontal="right"/>
    </xf>
    <xf numFmtId="0" fontId="14" fillId="6" borderId="1" xfId="0" applyFont="1" applyFill="1" applyBorder="1" applyAlignment="1">
      <alignment horizontal="left"/>
    </xf>
    <xf numFmtId="166" fontId="6" fillId="6" borderId="22" xfId="0" applyNumberFormat="1" applyFont="1" applyFill="1" applyBorder="1" applyAlignment="1">
      <alignment horizontal="right"/>
    </xf>
    <xf numFmtId="0" fontId="14" fillId="9" borderId="21" xfId="0" applyFont="1" applyFill="1" applyBorder="1"/>
    <xf numFmtId="0" fontId="16" fillId="9" borderId="1" xfId="0" applyFont="1" applyFill="1" applyBorder="1"/>
    <xf numFmtId="166" fontId="14" fillId="9" borderId="1" xfId="0" applyNumberFormat="1" applyFont="1" applyFill="1" applyBorder="1"/>
    <xf numFmtId="166" fontId="14" fillId="9" borderId="22" xfId="0" applyNumberFormat="1" applyFont="1" applyFill="1" applyBorder="1"/>
    <xf numFmtId="0" fontId="25" fillId="9" borderId="24" xfId="0" applyFont="1" applyFill="1" applyBorder="1" applyAlignment="1">
      <alignment horizontal="center"/>
    </xf>
    <xf numFmtId="44" fontId="6" fillId="9" borderId="24" xfId="0" applyNumberFormat="1" applyFont="1" applyFill="1" applyBorder="1"/>
    <xf numFmtId="44" fontId="16" fillId="9" borderId="24" xfId="0" applyNumberFormat="1" applyFont="1" applyFill="1" applyBorder="1"/>
    <xf numFmtId="44" fontId="16" fillId="9" borderId="25" xfId="0" applyNumberFormat="1" applyFont="1" applyFill="1" applyBorder="1"/>
    <xf numFmtId="0" fontId="25" fillId="6" borderId="1" xfId="0" applyFont="1" applyFill="1" applyBorder="1" applyAlignment="1">
      <alignment horizontal="right"/>
    </xf>
    <xf numFmtId="0" fontId="16" fillId="0" borderId="0" xfId="0" applyFont="1" applyAlignment="1">
      <alignment horizontal="center"/>
    </xf>
    <xf numFmtId="0" fontId="20" fillId="16" borderId="1" xfId="0" applyFont="1" applyFill="1" applyBorder="1" applyAlignment="1">
      <alignment wrapText="1"/>
    </xf>
    <xf numFmtId="0" fontId="20" fillId="0" borderId="0" xfId="0" applyFont="1" applyAlignment="1">
      <alignment wrapText="1"/>
    </xf>
    <xf numFmtId="0" fontId="50" fillId="0" borderId="0" xfId="0" applyFont="1" applyAlignment="1">
      <alignment horizontal="right"/>
    </xf>
    <xf numFmtId="0" fontId="50" fillId="0" borderId="0" xfId="0" applyFont="1"/>
    <xf numFmtId="0" fontId="51" fillId="0" borderId="0" xfId="0" applyFont="1" applyAlignment="1">
      <alignment vertical="center"/>
    </xf>
    <xf numFmtId="0" fontId="20" fillId="0" borderId="0" xfId="0" applyFont="1"/>
    <xf numFmtId="0" fontId="52" fillId="17" borderId="1" xfId="0" applyFont="1" applyFill="1" applyBorder="1" applyAlignment="1">
      <alignment wrapText="1"/>
    </xf>
    <xf numFmtId="0" fontId="53" fillId="18" borderId="1" xfId="0" applyFont="1" applyFill="1" applyBorder="1" applyAlignment="1">
      <alignment horizontal="right"/>
    </xf>
    <xf numFmtId="0" fontId="54" fillId="0" borderId="0" xfId="0" applyFont="1" applyAlignment="1">
      <alignment horizontal="left" wrapText="1"/>
    </xf>
    <xf numFmtId="0" fontId="55" fillId="17" borderId="1" xfId="0" applyFont="1" applyFill="1" applyBorder="1" applyAlignment="1">
      <alignment wrapText="1"/>
    </xf>
    <xf numFmtId="0" fontId="53" fillId="18" borderId="1" xfId="0" applyFont="1" applyFill="1" applyBorder="1" applyAlignment="1">
      <alignment horizontal="center" wrapText="1"/>
    </xf>
    <xf numFmtId="0" fontId="53" fillId="18" borderId="1" xfId="0" applyFont="1" applyFill="1" applyBorder="1" applyAlignment="1">
      <alignment horizontal="right" wrapText="1"/>
    </xf>
    <xf numFmtId="0" fontId="56" fillId="0" borderId="0" xfId="0" applyFont="1" applyAlignment="1">
      <alignment wrapText="1"/>
    </xf>
    <xf numFmtId="0" fontId="57" fillId="0" borderId="0" xfId="0" applyFont="1" applyAlignment="1">
      <alignment wrapText="1"/>
    </xf>
    <xf numFmtId="3" fontId="20" fillId="0" borderId="0" xfId="0" applyNumberFormat="1" applyFont="1"/>
    <xf numFmtId="9" fontId="50" fillId="0" borderId="0" xfId="0" applyNumberFormat="1" applyFont="1"/>
    <xf numFmtId="0" fontId="57" fillId="19" borderId="1" xfId="0" applyFont="1" applyFill="1" applyBorder="1" applyAlignment="1">
      <alignment wrapText="1"/>
    </xf>
    <xf numFmtId="3" fontId="50" fillId="14" borderId="1" xfId="0" applyNumberFormat="1" applyFont="1" applyFill="1" applyBorder="1"/>
    <xf numFmtId="9" fontId="50" fillId="20" borderId="1" xfId="0" applyNumberFormat="1" applyFont="1" applyFill="1" applyBorder="1"/>
    <xf numFmtId="0" fontId="54" fillId="0" borderId="0" xfId="0" applyFont="1" applyAlignment="1">
      <alignment wrapText="1"/>
    </xf>
    <xf numFmtId="0" fontId="53" fillId="21" borderId="1" xfId="0" applyFont="1" applyFill="1" applyBorder="1" applyAlignment="1">
      <alignment horizontal="center"/>
    </xf>
    <xf numFmtId="0" fontId="53" fillId="0" borderId="0" xfId="0" applyFont="1" applyAlignment="1">
      <alignment wrapText="1"/>
    </xf>
    <xf numFmtId="0" fontId="57" fillId="21" borderId="1" xfId="0" applyFont="1" applyFill="1" applyBorder="1" applyAlignment="1">
      <alignment horizontal="center" wrapText="1"/>
    </xf>
    <xf numFmtId="0" fontId="56" fillId="0" borderId="0" xfId="0" applyFont="1"/>
    <xf numFmtId="0" fontId="58" fillId="0" borderId="0" xfId="0" applyFont="1"/>
    <xf numFmtId="0" fontId="59" fillId="0" borderId="0" xfId="0" applyFont="1" applyAlignment="1">
      <alignment wrapText="1"/>
    </xf>
    <xf numFmtId="0" fontId="20" fillId="0" borderId="0" xfId="0" applyFont="1" applyAlignment="1">
      <alignment horizontal="left" wrapText="1"/>
    </xf>
    <xf numFmtId="3" fontId="50" fillId="0" borderId="0" xfId="0" applyNumberFormat="1" applyFont="1"/>
    <xf numFmtId="0" fontId="53" fillId="22" borderId="1" xfId="0" applyFont="1" applyFill="1" applyBorder="1" applyAlignment="1">
      <alignment horizontal="right"/>
    </xf>
    <xf numFmtId="0" fontId="57" fillId="22" borderId="1" xfId="0" applyFont="1" applyFill="1" applyBorder="1" applyAlignment="1">
      <alignment horizontal="center" wrapText="1"/>
    </xf>
    <xf numFmtId="0" fontId="57" fillId="22" borderId="1" xfId="0" applyFont="1" applyFill="1" applyBorder="1" applyAlignment="1">
      <alignment horizontal="right" wrapText="1"/>
    </xf>
    <xf numFmtId="165" fontId="20" fillId="0" borderId="0" xfId="0" applyNumberFormat="1" applyFont="1"/>
    <xf numFmtId="165" fontId="50" fillId="14" borderId="1" xfId="0" applyNumberFormat="1" applyFont="1" applyFill="1" applyBorder="1"/>
    <xf numFmtId="165" fontId="50" fillId="20" borderId="1" xfId="0" applyNumberFormat="1" applyFont="1" applyFill="1" applyBorder="1"/>
    <xf numFmtId="165" fontId="50" fillId="0" borderId="0" xfId="0" applyNumberFormat="1" applyFont="1"/>
    <xf numFmtId="44" fontId="20" fillId="0" borderId="0" xfId="0" applyNumberFormat="1" applyFont="1"/>
    <xf numFmtId="167" fontId="50" fillId="0" borderId="0" xfId="0" applyNumberFormat="1" applyFont="1"/>
    <xf numFmtId="174" fontId="50" fillId="14" borderId="1" xfId="0" applyNumberFormat="1" applyFont="1" applyFill="1" applyBorder="1"/>
    <xf numFmtId="174" fontId="50" fillId="20" borderId="1" xfId="0" applyNumberFormat="1" applyFont="1" applyFill="1" applyBorder="1"/>
    <xf numFmtId="167" fontId="50" fillId="20" borderId="1" xfId="0" applyNumberFormat="1" applyFont="1" applyFill="1" applyBorder="1"/>
    <xf numFmtId="44" fontId="50" fillId="14" borderId="1" xfId="0" applyNumberFormat="1" applyFont="1" applyFill="1" applyBorder="1"/>
    <xf numFmtId="167" fontId="20" fillId="0" borderId="0" xfId="0" applyNumberFormat="1" applyFont="1"/>
    <xf numFmtId="167" fontId="50" fillId="14" borderId="1" xfId="0" applyNumberFormat="1" applyFont="1" applyFill="1" applyBorder="1"/>
    <xf numFmtId="9" fontId="50" fillId="14" borderId="1" xfId="0" applyNumberFormat="1" applyFont="1" applyFill="1" applyBorder="1"/>
    <xf numFmtId="0" fontId="57" fillId="14" borderId="1" xfId="0" applyFont="1" applyFill="1" applyBorder="1" applyAlignment="1">
      <alignment wrapText="1"/>
    </xf>
    <xf numFmtId="0" fontId="20" fillId="0" borderId="0" xfId="0" applyFont="1" applyAlignment="1">
      <alignment horizontal="left"/>
    </xf>
    <xf numFmtId="172" fontId="20" fillId="0" borderId="0" xfId="0" applyNumberFormat="1" applyFont="1"/>
    <xf numFmtId="0" fontId="60" fillId="0" borderId="0" xfId="0" applyFont="1" applyAlignment="1">
      <alignment wrapText="1"/>
    </xf>
    <xf numFmtId="0" fontId="15" fillId="0" borderId="0" xfId="0" applyFont="1" applyAlignment="1">
      <alignment wrapText="1"/>
    </xf>
    <xf numFmtId="0" fontId="61" fillId="23" borderId="1" xfId="0" applyFont="1" applyFill="1" applyBorder="1" applyAlignment="1">
      <alignment wrapText="1"/>
    </xf>
    <xf numFmtId="0" fontId="1" fillId="0" borderId="0" xfId="0" applyFont="1" applyAlignment="1">
      <alignment wrapText="1"/>
    </xf>
    <xf numFmtId="0" fontId="57" fillId="24" borderId="1" xfId="0" applyFont="1" applyFill="1" applyBorder="1" applyAlignment="1">
      <alignment wrapText="1"/>
    </xf>
    <xf numFmtId="0" fontId="62" fillId="25" borderId="1" xfId="0" applyFont="1" applyFill="1" applyBorder="1" applyAlignment="1">
      <alignment horizontal="center" wrapText="1"/>
    </xf>
    <xf numFmtId="0" fontId="62" fillId="26" borderId="1" xfId="0" applyFont="1" applyFill="1" applyBorder="1" applyAlignment="1">
      <alignment horizontal="center" wrapText="1"/>
    </xf>
    <xf numFmtId="0" fontId="62" fillId="27" borderId="1" xfId="0" applyFont="1" applyFill="1" applyBorder="1" applyAlignment="1">
      <alignment horizontal="center" wrapText="1"/>
    </xf>
    <xf numFmtId="0" fontId="62" fillId="28" borderId="1" xfId="0" applyFont="1" applyFill="1" applyBorder="1" applyAlignment="1">
      <alignment horizontal="center" wrapText="1"/>
    </xf>
    <xf numFmtId="0" fontId="57" fillId="19" borderId="1" xfId="0" applyFont="1" applyFill="1" applyBorder="1" applyAlignment="1">
      <alignment horizontal="center" wrapText="1"/>
    </xf>
    <xf numFmtId="0" fontId="53" fillId="29" borderId="1" xfId="0" applyFont="1" applyFill="1" applyBorder="1" applyAlignment="1">
      <alignment horizontal="center" wrapText="1"/>
    </xf>
    <xf numFmtId="0" fontId="63" fillId="0" borderId="0" xfId="0" applyFont="1" applyAlignment="1">
      <alignment horizontal="center" wrapText="1"/>
    </xf>
    <xf numFmtId="3" fontId="63" fillId="0" borderId="0" xfId="0" applyNumberFormat="1" applyFont="1" applyAlignment="1">
      <alignment horizontal="center" wrapText="1"/>
    </xf>
    <xf numFmtId="9" fontId="63" fillId="0" borderId="0" xfId="0" applyNumberFormat="1" applyFont="1" applyAlignment="1">
      <alignment horizontal="center" wrapText="1"/>
    </xf>
    <xf numFmtId="175" fontId="63" fillId="0" borderId="0" xfId="0" applyNumberFormat="1" applyFont="1" applyAlignment="1">
      <alignment horizontal="center" wrapText="1"/>
    </xf>
    <xf numFmtId="176" fontId="15" fillId="0" borderId="0" xfId="0" applyNumberFormat="1" applyFont="1" applyAlignment="1">
      <alignment wrapText="1"/>
    </xf>
    <xf numFmtId="177" fontId="63" fillId="0" borderId="0" xfId="0" applyNumberFormat="1" applyFont="1" applyAlignment="1">
      <alignment horizontal="center" wrapText="1"/>
    </xf>
    <xf numFmtId="3" fontId="57" fillId="19" borderId="1" xfId="0" applyNumberFormat="1" applyFont="1" applyFill="1" applyBorder="1" applyAlignment="1">
      <alignment horizontal="center" wrapText="1"/>
    </xf>
    <xf numFmtId="9" fontId="57" fillId="19" borderId="1" xfId="0" applyNumberFormat="1" applyFont="1" applyFill="1" applyBorder="1" applyAlignment="1">
      <alignment horizontal="center" wrapText="1"/>
    </xf>
    <xf numFmtId="175" fontId="57" fillId="19" borderId="1" xfId="0" applyNumberFormat="1" applyFont="1" applyFill="1" applyBorder="1" applyAlignment="1">
      <alignment horizontal="center" wrapText="1"/>
    </xf>
    <xf numFmtId="176" fontId="53" fillId="0" borderId="0" xfId="0" applyNumberFormat="1" applyFont="1" applyAlignment="1">
      <alignment wrapText="1"/>
    </xf>
    <xf numFmtId="166" fontId="20" fillId="0" borderId="0" xfId="0" applyNumberFormat="1" applyFont="1"/>
    <xf numFmtId="0" fontId="65" fillId="18" borderId="1" xfId="0" applyFont="1" applyFill="1" applyBorder="1"/>
    <xf numFmtId="0" fontId="64" fillId="18" borderId="1" xfId="0" applyFont="1" applyFill="1" applyBorder="1" applyAlignment="1">
      <alignment horizontal="right"/>
    </xf>
    <xf numFmtId="0" fontId="64" fillId="18" borderId="1" xfId="0" applyFont="1" applyFill="1" applyBorder="1" applyAlignment="1">
      <alignment horizontal="center" wrapText="1"/>
    </xf>
    <xf numFmtId="0" fontId="64" fillId="18" borderId="1" xfId="0" applyFont="1" applyFill="1" applyBorder="1" applyAlignment="1">
      <alignment horizontal="right" wrapText="1"/>
    </xf>
    <xf numFmtId="0" fontId="57" fillId="19" borderId="1" xfId="0" applyFont="1" applyFill="1" applyBorder="1" applyAlignment="1">
      <alignment horizontal="right" wrapText="1"/>
    </xf>
    <xf numFmtId="10" fontId="50" fillId="20" borderId="1" xfId="0" applyNumberFormat="1" applyFont="1" applyFill="1" applyBorder="1"/>
    <xf numFmtId="0" fontId="64" fillId="18" borderId="1" xfId="0" applyFont="1" applyFill="1" applyBorder="1" applyAlignment="1">
      <alignment horizontal="center"/>
    </xf>
    <xf numFmtId="0" fontId="55" fillId="18" borderId="1" xfId="0" applyFont="1" applyFill="1" applyBorder="1" applyAlignment="1">
      <alignment horizontal="center" wrapText="1"/>
    </xf>
    <xf numFmtId="3" fontId="66" fillId="0" borderId="0" xfId="0" applyNumberFormat="1" applyFont="1"/>
    <xf numFmtId="0" fontId="55" fillId="18" borderId="1" xfId="0" applyFont="1" applyFill="1" applyBorder="1" applyAlignment="1">
      <alignment horizontal="right" wrapText="1"/>
    </xf>
    <xf numFmtId="0" fontId="67" fillId="0" borderId="0" xfId="0" applyFont="1" applyAlignment="1">
      <alignment wrapText="1"/>
    </xf>
    <xf numFmtId="178" fontId="50" fillId="14" borderId="1" xfId="0" applyNumberFormat="1" applyFont="1" applyFill="1" applyBorder="1"/>
    <xf numFmtId="0" fontId="55" fillId="22" borderId="1" xfId="0" applyFont="1" applyFill="1" applyBorder="1" applyAlignment="1">
      <alignment horizontal="center" wrapText="1"/>
    </xf>
    <xf numFmtId="0" fontId="64" fillId="22" borderId="1" xfId="0" applyFont="1" applyFill="1" applyBorder="1" applyAlignment="1">
      <alignment horizontal="right"/>
    </xf>
    <xf numFmtId="0" fontId="55" fillId="22" borderId="1" xfId="0" applyFont="1" applyFill="1" applyBorder="1" applyAlignment="1">
      <alignment horizontal="right" wrapText="1"/>
    </xf>
    <xf numFmtId="178" fontId="20" fillId="0" borderId="0" xfId="0" applyNumberFormat="1" applyFont="1"/>
    <xf numFmtId="174" fontId="20" fillId="0" borderId="0" xfId="0" applyNumberFormat="1" applyFont="1"/>
    <xf numFmtId="0" fontId="62" fillId="26" borderId="1" xfId="0" applyFont="1" applyFill="1" applyBorder="1" applyAlignment="1">
      <alignment horizontal="right" wrapText="1"/>
    </xf>
    <xf numFmtId="0" fontId="53" fillId="0" borderId="0" xfId="0" applyFont="1" applyAlignment="1">
      <alignment horizontal="center" wrapText="1"/>
    </xf>
    <xf numFmtId="0" fontId="54" fillId="0" borderId="0" xfId="0" applyFont="1" applyAlignment="1">
      <alignment horizontal="center" wrapText="1"/>
    </xf>
    <xf numFmtId="0" fontId="57" fillId="0" borderId="0" xfId="0" applyFont="1" applyAlignment="1">
      <alignment horizontal="center" wrapText="1"/>
    </xf>
    <xf numFmtId="175" fontId="15" fillId="0" borderId="0" xfId="0" applyNumberFormat="1" applyFont="1" applyAlignment="1">
      <alignment horizontal="center" wrapText="1"/>
    </xf>
    <xf numFmtId="175" fontId="54" fillId="0" borderId="0" xfId="0" applyNumberFormat="1" applyFont="1" applyAlignment="1">
      <alignment horizontal="left" wrapText="1"/>
    </xf>
    <xf numFmtId="175" fontId="63" fillId="0" borderId="0" xfId="0" applyNumberFormat="1" applyFont="1" applyAlignment="1">
      <alignment horizontal="center"/>
    </xf>
    <xf numFmtId="0" fontId="20" fillId="15" borderId="1" xfId="0" applyFont="1" applyFill="1" applyBorder="1" applyAlignment="1">
      <alignment horizontal="left"/>
    </xf>
    <xf numFmtId="3" fontId="50" fillId="20" borderId="1" xfId="0" applyNumberFormat="1" applyFont="1" applyFill="1" applyBorder="1"/>
    <xf numFmtId="9" fontId="57" fillId="20" borderId="1" xfId="0" applyNumberFormat="1" applyFont="1" applyFill="1" applyBorder="1" applyAlignment="1">
      <alignment horizontal="center" wrapText="1"/>
    </xf>
    <xf numFmtId="175" fontId="53" fillId="0" borderId="0" xfId="0" applyNumberFormat="1" applyFont="1" applyAlignment="1">
      <alignment horizontal="center" wrapText="1"/>
    </xf>
    <xf numFmtId="0" fontId="68" fillId="0" borderId="0" xfId="0" applyFont="1" applyAlignment="1">
      <alignment wrapText="1"/>
    </xf>
    <xf numFmtId="10" fontId="69" fillId="0" borderId="0" xfId="0" applyNumberFormat="1" applyFont="1"/>
    <xf numFmtId="0" fontId="69" fillId="0" borderId="0" xfId="0" applyFont="1"/>
    <xf numFmtId="4" fontId="63" fillId="0" borderId="0" xfId="0" applyNumberFormat="1" applyFont="1" applyAlignment="1">
      <alignment horizontal="center" wrapText="1"/>
    </xf>
    <xf numFmtId="167" fontId="63" fillId="0" borderId="0" xfId="0" applyNumberFormat="1" applyFont="1" applyAlignment="1">
      <alignment horizontal="center" wrapText="1"/>
    </xf>
    <xf numFmtId="4" fontId="57" fillId="20" borderId="1" xfId="0" applyNumberFormat="1" applyFont="1" applyFill="1" applyBorder="1" applyAlignment="1">
      <alignment horizontal="center" wrapText="1"/>
    </xf>
    <xf numFmtId="167" fontId="57" fillId="20" borderId="1" xfId="0" applyNumberFormat="1" applyFont="1" applyFill="1" applyBorder="1" applyAlignment="1">
      <alignment horizontal="center" wrapText="1"/>
    </xf>
    <xf numFmtId="10" fontId="57" fillId="20" borderId="1" xfId="0" applyNumberFormat="1" applyFont="1" applyFill="1" applyBorder="1" applyAlignment="1">
      <alignment horizontal="center" wrapText="1"/>
    </xf>
    <xf numFmtId="172" fontId="63" fillId="0" borderId="0" xfId="0" applyNumberFormat="1" applyFont="1" applyAlignment="1">
      <alignment horizontal="center" wrapText="1"/>
    </xf>
    <xf numFmtId="4" fontId="57" fillId="0" borderId="0" xfId="0" applyNumberFormat="1" applyFont="1" applyAlignment="1">
      <alignment horizontal="center" wrapText="1"/>
    </xf>
    <xf numFmtId="9" fontId="57" fillId="0" borderId="0" xfId="0" applyNumberFormat="1" applyFont="1" applyAlignment="1">
      <alignment horizontal="center" wrapText="1"/>
    </xf>
    <xf numFmtId="0" fontId="55" fillId="24" borderId="1" xfId="0" applyFont="1" applyFill="1" applyBorder="1" applyAlignment="1">
      <alignment wrapText="1"/>
    </xf>
    <xf numFmtId="166" fontId="63" fillId="0" borderId="0" xfId="0" applyNumberFormat="1" applyFont="1" applyAlignment="1">
      <alignment horizontal="center" wrapText="1"/>
    </xf>
    <xf numFmtId="175" fontId="57" fillId="0" borderId="0" xfId="0" applyNumberFormat="1" applyFont="1" applyAlignment="1">
      <alignment horizontal="center" wrapText="1"/>
    </xf>
    <xf numFmtId="0" fontId="57" fillId="20" borderId="1" xfId="0" applyFont="1" applyFill="1" applyBorder="1" applyAlignment="1">
      <alignment wrapText="1"/>
    </xf>
    <xf numFmtId="10" fontId="63" fillId="0" borderId="0" xfId="0" applyNumberFormat="1" applyFont="1" applyAlignment="1">
      <alignment horizontal="center" wrapText="1"/>
    </xf>
    <xf numFmtId="0" fontId="50" fillId="0" borderId="58" xfId="0" applyFont="1" applyBorder="1"/>
    <xf numFmtId="0" fontId="50" fillId="0" borderId="59" xfId="0" applyFont="1" applyBorder="1" applyAlignment="1">
      <alignment horizontal="center"/>
    </xf>
    <xf numFmtId="0" fontId="50" fillId="0" borderId="59" xfId="0" applyFont="1" applyBorder="1"/>
    <xf numFmtId="0" fontId="50" fillId="0" borderId="60" xfId="0" applyFont="1" applyBorder="1"/>
    <xf numFmtId="0" fontId="20" fillId="0" borderId="37" xfId="0" applyFont="1" applyBorder="1"/>
    <xf numFmtId="0" fontId="20" fillId="0" borderId="38" xfId="0" applyFont="1" applyBorder="1"/>
    <xf numFmtId="166" fontId="20" fillId="0" borderId="38" xfId="0" applyNumberFormat="1" applyFont="1" applyBorder="1"/>
    <xf numFmtId="166" fontId="50" fillId="0" borderId="0" xfId="0" applyNumberFormat="1" applyFont="1"/>
    <xf numFmtId="166" fontId="50" fillId="0" borderId="38" xfId="0" applyNumberFormat="1" applyFont="1" applyBorder="1"/>
    <xf numFmtId="10" fontId="20" fillId="0" borderId="38" xfId="0" applyNumberFormat="1" applyFont="1" applyBorder="1"/>
    <xf numFmtId="0" fontId="50" fillId="0" borderId="37" xfId="0" applyFont="1" applyBorder="1"/>
    <xf numFmtId="172" fontId="20" fillId="0" borderId="38" xfId="0" applyNumberFormat="1" applyFont="1" applyBorder="1"/>
    <xf numFmtId="10" fontId="20" fillId="0" borderId="0" xfId="0" applyNumberFormat="1" applyFont="1"/>
    <xf numFmtId="0" fontId="20" fillId="0" borderId="42" xfId="0" applyFont="1" applyBorder="1"/>
    <xf numFmtId="0" fontId="20" fillId="0" borderId="43" xfId="0" applyFont="1" applyBorder="1"/>
    <xf numFmtId="10" fontId="50" fillId="0" borderId="43" xfId="0" applyNumberFormat="1" applyFont="1" applyBorder="1"/>
    <xf numFmtId="10" fontId="50" fillId="0" borderId="44" xfId="0" applyNumberFormat="1" applyFont="1" applyBorder="1"/>
    <xf numFmtId="0" fontId="20" fillId="0" borderId="59" xfId="0" applyFont="1" applyBorder="1"/>
    <xf numFmtId="0" fontId="20" fillId="0" borderId="60" xfId="0" applyFont="1" applyBorder="1"/>
    <xf numFmtId="165" fontId="20" fillId="0" borderId="38" xfId="0" applyNumberFormat="1" applyFont="1" applyBorder="1"/>
    <xf numFmtId="0" fontId="19" fillId="3" borderId="15" xfId="0" applyFont="1" applyFill="1" applyBorder="1" applyAlignment="1">
      <alignment horizontal="center" wrapText="1"/>
    </xf>
    <xf numFmtId="0" fontId="18" fillId="3" borderId="16" xfId="0" applyFont="1" applyFill="1" applyBorder="1" applyAlignment="1">
      <alignment horizontal="center"/>
    </xf>
    <xf numFmtId="0" fontId="19" fillId="3" borderId="16" xfId="0" applyFont="1" applyFill="1" applyBorder="1" applyAlignment="1">
      <alignment horizontal="right" wrapText="1"/>
    </xf>
    <xf numFmtId="0" fontId="19" fillId="3" borderId="16" xfId="0" applyFont="1" applyFill="1" applyBorder="1" applyAlignment="1">
      <alignment horizontal="left" wrapText="1"/>
    </xf>
    <xf numFmtId="0" fontId="19" fillId="3" borderId="20" xfId="0" applyFont="1" applyFill="1" applyBorder="1" applyAlignment="1">
      <alignment horizontal="left" wrapText="1"/>
    </xf>
    <xf numFmtId="0" fontId="25" fillId="6" borderId="21" xfId="0" applyFont="1" applyFill="1" applyBorder="1" applyAlignment="1">
      <alignment horizontal="left" wrapText="1"/>
    </xf>
    <xf numFmtId="0" fontId="18" fillId="6" borderId="1" xfId="0" applyFont="1" applyFill="1" applyBorder="1" applyAlignment="1">
      <alignment horizontal="center"/>
    </xf>
    <xf numFmtId="0" fontId="19" fillId="6" borderId="1" xfId="0" applyFont="1" applyFill="1" applyBorder="1" applyAlignment="1">
      <alignment horizontal="right" wrapText="1"/>
    </xf>
    <xf numFmtId="0" fontId="19" fillId="6" borderId="1" xfId="0" applyFont="1" applyFill="1" applyBorder="1" applyAlignment="1">
      <alignment horizontal="left" wrapText="1"/>
    </xf>
    <xf numFmtId="0" fontId="19" fillId="6" borderId="22" xfId="0" applyFont="1" applyFill="1" applyBorder="1" applyAlignment="1">
      <alignment horizontal="left" wrapText="1"/>
    </xf>
    <xf numFmtId="9" fontId="17" fillId="6" borderId="1" xfId="0" applyNumberFormat="1" applyFont="1" applyFill="1" applyBorder="1"/>
    <xf numFmtId="10" fontId="16" fillId="6" borderId="1" xfId="0" applyNumberFormat="1" applyFont="1" applyFill="1" applyBorder="1"/>
    <xf numFmtId="10" fontId="17" fillId="6" borderId="1" xfId="0" applyNumberFormat="1" applyFont="1" applyFill="1" applyBorder="1"/>
    <xf numFmtId="0" fontId="25" fillId="6" borderId="21" xfId="0" applyFont="1" applyFill="1" applyBorder="1" applyAlignment="1">
      <alignment horizontal="right" wrapText="1"/>
    </xf>
    <xf numFmtId="10" fontId="16" fillId="6" borderId="22" xfId="0" applyNumberFormat="1" applyFont="1" applyFill="1" applyBorder="1" applyAlignment="1">
      <alignment horizontal="center" wrapText="1"/>
    </xf>
    <xf numFmtId="10" fontId="16" fillId="6" borderId="1" xfId="0" applyNumberFormat="1" applyFont="1" applyFill="1" applyBorder="1" applyAlignment="1">
      <alignment horizontal="right"/>
    </xf>
    <xf numFmtId="0" fontId="16" fillId="6" borderId="23" xfId="0" applyFont="1" applyFill="1" applyBorder="1" applyAlignment="1">
      <alignment horizontal="right"/>
    </xf>
    <xf numFmtId="10" fontId="17" fillId="6" borderId="24" xfId="0" applyNumberFormat="1" applyFont="1" applyFill="1" applyBorder="1"/>
    <xf numFmtId="10" fontId="16" fillId="6" borderId="24" xfId="0" applyNumberFormat="1" applyFont="1" applyFill="1" applyBorder="1" applyAlignment="1">
      <alignment horizontal="right"/>
    </xf>
    <xf numFmtId="10" fontId="16" fillId="6" borderId="25" xfId="0" applyNumberFormat="1" applyFont="1" applyFill="1" applyBorder="1" applyAlignment="1">
      <alignment horizontal="center" wrapText="1"/>
    </xf>
    <xf numFmtId="9" fontId="16" fillId="6" borderId="1" xfId="0" applyNumberFormat="1" applyFont="1" applyFill="1" applyBorder="1"/>
    <xf numFmtId="10" fontId="16" fillId="6" borderId="24" xfId="0" applyNumberFormat="1" applyFont="1" applyFill="1" applyBorder="1"/>
    <xf numFmtId="9" fontId="16" fillId="6" borderId="24" xfId="0" applyNumberFormat="1" applyFont="1" applyFill="1" applyBorder="1"/>
    <xf numFmtId="0" fontId="50" fillId="5" borderId="1" xfId="0" applyFont="1" applyFill="1" applyBorder="1"/>
    <xf numFmtId="0" fontId="20" fillId="5" borderId="1" xfId="0" applyFont="1" applyFill="1" applyBorder="1"/>
    <xf numFmtId="166" fontId="50" fillId="5" borderId="1" xfId="0" applyNumberFormat="1" applyFont="1" applyFill="1" applyBorder="1"/>
    <xf numFmtId="10" fontId="50" fillId="0" borderId="0" xfId="0" applyNumberFormat="1" applyFont="1"/>
    <xf numFmtId="166" fontId="53" fillId="5" borderId="65" xfId="0" applyNumberFormat="1" applyFont="1" applyFill="1" applyBorder="1"/>
    <xf numFmtId="43" fontId="20" fillId="0" borderId="0" xfId="0" applyNumberFormat="1" applyFont="1"/>
    <xf numFmtId="0" fontId="50" fillId="5" borderId="15" xfId="0" applyFont="1" applyFill="1" applyBorder="1"/>
    <xf numFmtId="0" fontId="50" fillId="5" borderId="16" xfId="0" applyFont="1" applyFill="1" applyBorder="1"/>
    <xf numFmtId="0" fontId="50" fillId="5" borderId="20" xfId="0" applyFont="1" applyFill="1" applyBorder="1"/>
    <xf numFmtId="3" fontId="20" fillId="0" borderId="38" xfId="0" applyNumberFormat="1" applyFont="1" applyBorder="1"/>
    <xf numFmtId="0" fontId="50" fillId="5" borderId="21" xfId="0" applyFont="1" applyFill="1" applyBorder="1"/>
    <xf numFmtId="3" fontId="50" fillId="5" borderId="1" xfId="0" applyNumberFormat="1" applyFont="1" applyFill="1" applyBorder="1"/>
    <xf numFmtId="3" fontId="50" fillId="5" borderId="22" xfId="0" applyNumberFormat="1" applyFont="1" applyFill="1" applyBorder="1"/>
    <xf numFmtId="0" fontId="70" fillId="0" borderId="42" xfId="0" applyFont="1" applyBorder="1"/>
    <xf numFmtId="10" fontId="70" fillId="0" borderId="43" xfId="0" applyNumberFormat="1" applyFont="1" applyBorder="1"/>
    <xf numFmtId="10" fontId="70" fillId="0" borderId="44" xfId="0" applyNumberFormat="1" applyFont="1" applyBorder="1"/>
    <xf numFmtId="164" fontId="3" fillId="2" borderId="2" xfId="0" applyNumberFormat="1" applyFont="1" applyFill="1" applyBorder="1" applyAlignment="1">
      <alignment horizontal="left"/>
    </xf>
    <xf numFmtId="0" fontId="4" fillId="0" borderId="3" xfId="0" applyFont="1" applyBorder="1"/>
    <xf numFmtId="0" fontId="6" fillId="0" borderId="0" xfId="0" applyFont="1" applyAlignment="1">
      <alignment vertical="center" wrapText="1"/>
    </xf>
    <xf numFmtId="0" fontId="0" fillId="0" borderId="0" xfId="0" applyFont="1" applyAlignment="1"/>
    <xf numFmtId="0" fontId="9" fillId="3" borderId="4" xfId="0" applyFont="1" applyFill="1" applyBorder="1"/>
    <xf numFmtId="0" fontId="4" fillId="0" borderId="5" xfId="0" applyFont="1" applyBorder="1"/>
    <xf numFmtId="0" fontId="4" fillId="0" borderId="6" xfId="0" applyFont="1" applyBorder="1"/>
    <xf numFmtId="2" fontId="12" fillId="0" borderId="4" xfId="0" applyNumberFormat="1" applyFont="1" applyBorder="1" applyAlignment="1">
      <alignment wrapText="1"/>
    </xf>
    <xf numFmtId="0" fontId="4" fillId="0" borderId="9" xfId="0" applyFont="1" applyBorder="1"/>
    <xf numFmtId="0" fontId="14" fillId="2" borderId="4" xfId="0" applyFont="1" applyFill="1" applyBorder="1" applyAlignment="1">
      <alignment wrapText="1"/>
    </xf>
    <xf numFmtId="0" fontId="14" fillId="2" borderId="4" xfId="0" applyFont="1" applyFill="1" applyBorder="1"/>
    <xf numFmtId="0" fontId="14" fillId="2" borderId="12" xfId="0" applyFont="1" applyFill="1" applyBorder="1"/>
    <xf numFmtId="0" fontId="6" fillId="4" borderId="2" xfId="0" applyFont="1" applyFill="1" applyBorder="1" applyAlignment="1">
      <alignment horizontal="left" vertical="top" wrapText="1"/>
    </xf>
    <xf numFmtId="0" fontId="4" fillId="0" borderId="13" xfId="0" applyFont="1" applyBorder="1"/>
    <xf numFmtId="0" fontId="13" fillId="3" borderId="2" xfId="0" applyFont="1" applyFill="1" applyBorder="1" applyAlignment="1">
      <alignment horizontal="left"/>
    </xf>
    <xf numFmtId="0" fontId="16" fillId="4" borderId="2" xfId="0" applyFont="1" applyFill="1" applyBorder="1" applyAlignment="1">
      <alignment horizontal="left" wrapText="1"/>
    </xf>
    <xf numFmtId="0" fontId="16" fillId="4" borderId="2" xfId="0" applyFont="1" applyFill="1" applyBorder="1" applyAlignment="1">
      <alignment horizontal="left" vertical="center" wrapText="1"/>
    </xf>
    <xf numFmtId="0" fontId="19" fillId="3" borderId="2" xfId="0" applyFont="1" applyFill="1" applyBorder="1" applyAlignment="1">
      <alignment horizontal="left"/>
    </xf>
    <xf numFmtId="0" fontId="13" fillId="3" borderId="17" xfId="0" applyFont="1" applyFill="1" applyBorder="1" applyAlignment="1">
      <alignment horizontal="center"/>
    </xf>
    <xf numFmtId="0" fontId="4" fillId="0" borderId="18" xfId="0" applyFont="1" applyBorder="1"/>
    <xf numFmtId="0" fontId="4" fillId="0" borderId="19" xfId="0" applyFont="1" applyBorder="1"/>
    <xf numFmtId="0" fontId="13" fillId="3" borderId="26" xfId="0" applyFont="1" applyFill="1" applyBorder="1" applyAlignment="1">
      <alignment horizontal="left" vertical="center"/>
    </xf>
    <xf numFmtId="0" fontId="4" fillId="0" borderId="27" xfId="0" applyFont="1" applyBorder="1"/>
    <xf numFmtId="0" fontId="31" fillId="8" borderId="28" xfId="0" applyFont="1" applyFill="1" applyBorder="1" applyAlignment="1">
      <alignment horizontal="left"/>
    </xf>
    <xf numFmtId="0" fontId="6" fillId="4" borderId="28" xfId="0" applyFont="1" applyFill="1" applyBorder="1" applyAlignment="1">
      <alignment horizontal="left" vertical="center" wrapText="1"/>
    </xf>
    <xf numFmtId="0" fontId="4" fillId="0" borderId="29" xfId="0" applyFont="1" applyBorder="1"/>
    <xf numFmtId="0" fontId="32" fillId="4" borderId="30" xfId="0" applyFont="1" applyFill="1" applyBorder="1" applyAlignment="1">
      <alignment horizontal="left" vertical="center" wrapText="1"/>
    </xf>
    <xf numFmtId="0" fontId="4" fillId="0" borderId="31" xfId="0" applyFont="1" applyBorder="1"/>
    <xf numFmtId="0" fontId="4" fillId="0" borderId="32" xfId="0" applyFont="1" applyBorder="1"/>
    <xf numFmtId="0" fontId="19" fillId="9" borderId="17" xfId="0" applyFont="1" applyFill="1" applyBorder="1" applyAlignment="1">
      <alignment horizontal="center"/>
    </xf>
    <xf numFmtId="0" fontId="16" fillId="10" borderId="2" xfId="0" applyFont="1" applyFill="1" applyBorder="1" applyAlignment="1">
      <alignment horizontal="left" wrapText="1"/>
    </xf>
    <xf numFmtId="0" fontId="16" fillId="10" borderId="33" xfId="0" applyFont="1" applyFill="1" applyBorder="1" applyAlignment="1">
      <alignment horizontal="left" wrapText="1"/>
    </xf>
    <xf numFmtId="0" fontId="19" fillId="3" borderId="17" xfId="0" applyFont="1" applyFill="1" applyBorder="1" applyAlignment="1">
      <alignment horizontal="center"/>
    </xf>
    <xf numFmtId="0" fontId="19" fillId="12" borderId="17" xfId="0" applyFont="1" applyFill="1" applyBorder="1" applyAlignment="1">
      <alignment horizontal="center"/>
    </xf>
    <xf numFmtId="0" fontId="16" fillId="10" borderId="2" xfId="0" applyFont="1" applyFill="1" applyBorder="1" applyAlignment="1">
      <alignment horizontal="left"/>
    </xf>
    <xf numFmtId="0" fontId="6" fillId="4" borderId="30" xfId="0" applyFont="1" applyFill="1" applyBorder="1" applyAlignment="1">
      <alignment horizontal="left" vertical="center" wrapText="1"/>
    </xf>
    <xf numFmtId="0" fontId="35" fillId="13" borderId="28" xfId="0" applyFont="1" applyFill="1" applyBorder="1" applyAlignment="1">
      <alignment horizontal="left"/>
    </xf>
    <xf numFmtId="0" fontId="6" fillId="0" borderId="37" xfId="0" applyFont="1" applyBorder="1" applyAlignment="1">
      <alignment horizontal="left" vertical="center" wrapText="1"/>
    </xf>
    <xf numFmtId="0" fontId="4" fillId="0" borderId="38" xfId="0" applyFont="1" applyBorder="1"/>
    <xf numFmtId="0" fontId="6" fillId="0" borderId="39" xfId="0" applyFont="1" applyBorder="1" applyAlignment="1">
      <alignment horizontal="left" vertical="center" wrapText="1"/>
    </xf>
    <xf numFmtId="0" fontId="4" fillId="0" borderId="40" xfId="0" applyFont="1" applyBorder="1"/>
    <xf numFmtId="0" fontId="4" fillId="0" borderId="41" xfId="0" applyFont="1" applyBorder="1"/>
    <xf numFmtId="0" fontId="6" fillId="6" borderId="2" xfId="0" applyFont="1" applyFill="1" applyBorder="1" applyAlignment="1">
      <alignment horizontal="left" vertical="center" wrapText="1"/>
    </xf>
    <xf numFmtId="0" fontId="16" fillId="6" borderId="2" xfId="0" applyFont="1" applyFill="1" applyBorder="1" applyAlignment="1">
      <alignment horizontal="left"/>
    </xf>
    <xf numFmtId="0" fontId="6" fillId="4" borderId="4" xfId="0" applyFont="1" applyFill="1" applyBorder="1" applyAlignment="1">
      <alignment horizontal="left" vertical="center" wrapText="1"/>
    </xf>
    <xf numFmtId="0" fontId="16" fillId="0" borderId="42" xfId="0" applyFont="1" applyBorder="1" applyAlignment="1">
      <alignment horizontal="left" wrapText="1"/>
    </xf>
    <xf numFmtId="0" fontId="4" fillId="0" borderId="43" xfId="0" applyFont="1" applyBorder="1"/>
    <xf numFmtId="0" fontId="4" fillId="0" borderId="44" xfId="0" applyFont="1" applyBorder="1"/>
    <xf numFmtId="0" fontId="16" fillId="6" borderId="45" xfId="0" applyFont="1" applyFill="1" applyBorder="1" applyAlignment="1">
      <alignment horizontal="center" vertical="center" wrapText="1"/>
    </xf>
    <xf numFmtId="0" fontId="4" fillId="0" borderId="46" xfId="0" applyFont="1" applyBorder="1"/>
    <xf numFmtId="0" fontId="4" fillId="0" borderId="47" xfId="0" applyFont="1" applyBorder="1"/>
    <xf numFmtId="0" fontId="16" fillId="0" borderId="42" xfId="0" applyFont="1" applyBorder="1" applyAlignment="1">
      <alignment horizontal="left" vertical="center" wrapText="1"/>
    </xf>
    <xf numFmtId="0" fontId="6" fillId="0" borderId="42" xfId="0" applyFont="1" applyBorder="1" applyAlignment="1">
      <alignment horizontal="left" vertical="center" wrapText="1"/>
    </xf>
    <xf numFmtId="0" fontId="16" fillId="10" borderId="48" xfId="0" applyFont="1" applyFill="1" applyBorder="1" applyAlignment="1">
      <alignment horizontal="left" vertical="center" wrapText="1"/>
    </xf>
    <xf numFmtId="0" fontId="4" fillId="0" borderId="49" xfId="0" applyFont="1" applyBorder="1"/>
    <xf numFmtId="0" fontId="4" fillId="0" borderId="50" xfId="0" applyFont="1" applyBorder="1"/>
    <xf numFmtId="0" fontId="4" fillId="0" borderId="51" xfId="0" applyFont="1" applyBorder="1"/>
    <xf numFmtId="0" fontId="4" fillId="0" borderId="52" xfId="0" applyFont="1" applyBorder="1"/>
    <xf numFmtId="0" fontId="4" fillId="0" borderId="53" xfId="0" applyFont="1" applyBorder="1"/>
    <xf numFmtId="0" fontId="4" fillId="0" borderId="54" xfId="0" applyFont="1" applyBorder="1"/>
    <xf numFmtId="0" fontId="42" fillId="10" borderId="48" xfId="0" applyFont="1" applyFill="1" applyBorder="1" applyAlignment="1">
      <alignment horizontal="left" vertical="center" wrapText="1"/>
    </xf>
    <xf numFmtId="0" fontId="43" fillId="10" borderId="48" xfId="0" applyFont="1" applyFill="1" applyBorder="1" applyAlignment="1">
      <alignment horizontal="left" vertical="center" wrapText="1"/>
    </xf>
    <xf numFmtId="0" fontId="16" fillId="10" borderId="48" xfId="0" applyFont="1" applyFill="1" applyBorder="1" applyAlignment="1">
      <alignment vertical="center"/>
    </xf>
    <xf numFmtId="0" fontId="4" fillId="0" borderId="55" xfId="0" applyFont="1" applyBorder="1"/>
    <xf numFmtId="0" fontId="4" fillId="0" borderId="56" xfId="0" applyFont="1" applyBorder="1"/>
    <xf numFmtId="0" fontId="4" fillId="0" borderId="57" xfId="0" applyFont="1" applyBorder="1"/>
    <xf numFmtId="0" fontId="19" fillId="3" borderId="2" xfId="0" applyFont="1" applyFill="1" applyBorder="1" applyAlignment="1">
      <alignment horizontal="center"/>
    </xf>
    <xf numFmtId="0" fontId="46" fillId="10" borderId="2" xfId="0" applyFont="1" applyFill="1" applyBorder="1" applyAlignment="1">
      <alignment horizontal="left" wrapText="1"/>
    </xf>
    <xf numFmtId="0" fontId="53" fillId="18" borderId="2" xfId="0" applyFont="1" applyFill="1" applyBorder="1" applyAlignment="1">
      <alignment horizontal="center" wrapText="1"/>
    </xf>
    <xf numFmtId="0" fontId="53" fillId="18" borderId="2" xfId="0" applyFont="1" applyFill="1" applyBorder="1" applyAlignment="1">
      <alignment horizontal="center"/>
    </xf>
    <xf numFmtId="0" fontId="57" fillId="21" borderId="2" xfId="0" applyFont="1" applyFill="1" applyBorder="1" applyAlignment="1">
      <alignment horizontal="center" wrapText="1"/>
    </xf>
    <xf numFmtId="0" fontId="53" fillId="21" borderId="2" xfId="0" applyFont="1" applyFill="1" applyBorder="1" applyAlignment="1">
      <alignment horizontal="center"/>
    </xf>
    <xf numFmtId="0" fontId="57" fillId="22" borderId="2" xfId="0" applyFont="1" applyFill="1" applyBorder="1" applyAlignment="1">
      <alignment horizontal="center" wrapText="1"/>
    </xf>
    <xf numFmtId="0" fontId="53" fillId="22" borderId="2" xfId="0" applyFont="1" applyFill="1" applyBorder="1" applyAlignment="1">
      <alignment horizontal="center"/>
    </xf>
    <xf numFmtId="0" fontId="64" fillId="18" borderId="2" xfId="0" applyFont="1" applyFill="1" applyBorder="1" applyAlignment="1">
      <alignment horizontal="center" wrapText="1"/>
    </xf>
    <xf numFmtId="0" fontId="64" fillId="18" borderId="2" xfId="0" applyFont="1" applyFill="1" applyBorder="1" applyAlignment="1">
      <alignment horizontal="center"/>
    </xf>
    <xf numFmtId="0" fontId="55" fillId="18" borderId="2" xfId="0" applyFont="1" applyFill="1" applyBorder="1" applyAlignment="1">
      <alignment horizontal="center" wrapText="1"/>
    </xf>
    <xf numFmtId="0" fontId="55" fillId="22" borderId="2" xfId="0" applyFont="1" applyFill="1" applyBorder="1" applyAlignment="1">
      <alignment horizontal="center" wrapText="1"/>
    </xf>
    <xf numFmtId="0" fontId="64" fillId="22" borderId="2" xfId="0" applyFont="1" applyFill="1" applyBorder="1" applyAlignment="1">
      <alignment horizontal="center"/>
    </xf>
    <xf numFmtId="0" fontId="62" fillId="26" borderId="2" xfId="0" applyFont="1" applyFill="1" applyBorder="1" applyAlignment="1">
      <alignment horizontal="center" wrapText="1"/>
    </xf>
    <xf numFmtId="175" fontId="15" fillId="0" borderId="0" xfId="0" applyNumberFormat="1" applyFont="1" applyAlignment="1">
      <alignment horizontal="center" vertical="center" wrapText="1"/>
    </xf>
    <xf numFmtId="175" fontId="54" fillId="0" borderId="0" xfId="0" applyNumberFormat="1" applyFont="1" applyAlignment="1">
      <alignment horizontal="center" vertical="center" wrapText="1"/>
    </xf>
    <xf numFmtId="10" fontId="16" fillId="6" borderId="61" xfId="0" applyNumberFormat="1" applyFont="1" applyFill="1" applyBorder="1" applyAlignment="1">
      <alignment horizontal="center" wrapText="1"/>
    </xf>
    <xf numFmtId="0" fontId="4" fillId="0" borderId="62" xfId="0" applyFont="1" applyBorder="1"/>
    <xf numFmtId="0" fontId="4" fillId="0" borderId="63" xfId="0" applyFont="1" applyBorder="1"/>
    <xf numFmtId="9" fontId="16" fillId="6" borderId="61" xfId="0" applyNumberFormat="1" applyFont="1" applyFill="1" applyBorder="1" applyAlignment="1">
      <alignment horizontal="center" wrapText="1"/>
    </xf>
    <xf numFmtId="0" fontId="4" fillId="0" borderId="64"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7</xdr:col>
      <xdr:colOff>152400</xdr:colOff>
      <xdr:row>28</xdr:row>
      <xdr:rowOff>257175</xdr:rowOff>
    </xdr:from>
    <xdr:ext cx="6657975" cy="41243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28</xdr:row>
      <xdr:rowOff>247650</xdr:rowOff>
    </xdr:from>
    <xdr:ext cx="4695825" cy="4286250"/>
    <xdr:pic>
      <xdr:nvPicPr>
        <xdr:cNvPr id="3" name="image3.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104775</xdr:colOff>
      <xdr:row>0</xdr:row>
      <xdr:rowOff>28575</xdr:rowOff>
    </xdr:from>
    <xdr:ext cx="7286625" cy="3552825"/>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95250</xdr:colOff>
      <xdr:row>15</xdr:row>
      <xdr:rowOff>361950</xdr:rowOff>
    </xdr:from>
    <xdr:ext cx="5181600" cy="781050"/>
    <xdr:pic>
      <xdr:nvPicPr>
        <xdr:cNvPr id="5" name="image2.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228600</xdr:colOff>
      <xdr:row>2</xdr:row>
      <xdr:rowOff>276225</xdr:rowOff>
    </xdr:from>
    <xdr:ext cx="8448675" cy="3219450"/>
    <xdr:pic>
      <xdr:nvPicPr>
        <xdr:cNvPr id="2" name="image5.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1476375</xdr:colOff>
      <xdr:row>38</xdr:row>
      <xdr:rowOff>0</xdr:rowOff>
    </xdr:from>
    <xdr:ext cx="3562350" cy="3000375"/>
    <xdr:pic>
      <xdr:nvPicPr>
        <xdr:cNvPr id="2" name="image6.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1</xdr:row>
      <xdr:rowOff>0</xdr:rowOff>
    </xdr:from>
    <xdr:ext cx="9915525" cy="1885950"/>
    <xdr:pic>
      <xdr:nvPicPr>
        <xdr:cNvPr id="2" name="image7.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12</xdr:row>
      <xdr:rowOff>19050</xdr:rowOff>
    </xdr:from>
    <xdr:ext cx="10229850" cy="6038850"/>
    <xdr:pic>
      <xdr:nvPicPr>
        <xdr:cNvPr id="3" name="image10.png">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85725</xdr:colOff>
      <xdr:row>39</xdr:row>
      <xdr:rowOff>142875</xdr:rowOff>
    </xdr:from>
    <xdr:ext cx="10029825" cy="6534150"/>
    <xdr:pic>
      <xdr:nvPicPr>
        <xdr:cNvPr id="4" name="image9.png">
          <a:extLst>
            <a:ext uri="{FF2B5EF4-FFF2-40B4-BE49-F238E27FC236}">
              <a16:creationId xmlns:a16="http://schemas.microsoft.com/office/drawing/2014/main" id="{00000000-0008-0000-1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57150</xdr:colOff>
      <xdr:row>83</xdr:row>
      <xdr:rowOff>57150</xdr:rowOff>
    </xdr:from>
    <xdr:ext cx="10315575" cy="5029200"/>
    <xdr:pic>
      <xdr:nvPicPr>
        <xdr:cNvPr id="5" name="image8.png">
          <a:extLst>
            <a:ext uri="{FF2B5EF4-FFF2-40B4-BE49-F238E27FC236}">
              <a16:creationId xmlns:a16="http://schemas.microsoft.com/office/drawing/2014/main" id="{00000000-0008-0000-1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nput%2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mckinsey.com/capabilities/operations/our-insights/the-resilience-imperative-for-medtech-supply-chain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mckinsey.com/industries/healthcare/our-insights/optimizing-health-system-supply-chain-performance"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amdr.org/produc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7068C"/>
    <outlinePr summaryBelow="0" summaryRight="0"/>
  </sheetPr>
  <dimension ref="A1:Z1000"/>
  <sheetViews>
    <sheetView showGridLines="0" topLeftCell="A67" workbookViewId="0">
      <selection activeCell="M24" sqref="M24"/>
    </sheetView>
  </sheetViews>
  <sheetFormatPr defaultColWidth="14.3984375" defaultRowHeight="15" customHeight="1" x14ac:dyDescent="0.3"/>
  <cols>
    <col min="1" max="1" width="3.09765625" customWidth="1"/>
    <col min="2" max="6" width="12.69921875" customWidth="1"/>
    <col min="7" max="7" width="6.69921875" customWidth="1"/>
    <col min="8" max="8" width="12.69921875" customWidth="1"/>
    <col min="9" max="9" width="22" customWidth="1"/>
    <col min="10" max="26" width="12.69921875" customWidth="1"/>
  </cols>
  <sheetData>
    <row r="1" spans="1:26" ht="13" x14ac:dyDescent="0.3">
      <c r="A1" s="1"/>
      <c r="B1" s="1"/>
      <c r="C1" s="1"/>
      <c r="D1" s="1"/>
      <c r="E1" s="1"/>
      <c r="F1" s="1"/>
      <c r="G1" s="1"/>
      <c r="H1" s="1"/>
      <c r="I1" s="1"/>
      <c r="J1" s="1"/>
      <c r="K1" s="1"/>
      <c r="L1" s="1"/>
      <c r="M1" s="1"/>
      <c r="N1" s="1"/>
      <c r="O1" s="1"/>
      <c r="P1" s="1"/>
      <c r="Q1" s="1"/>
      <c r="R1" s="1"/>
      <c r="S1" s="1"/>
      <c r="T1" s="1"/>
      <c r="U1" s="1"/>
    </row>
    <row r="2" spans="1:26" ht="13" x14ac:dyDescent="0.3">
      <c r="A2" s="1"/>
      <c r="B2" s="1"/>
      <c r="C2" s="1"/>
      <c r="D2" s="1"/>
      <c r="E2" s="1"/>
      <c r="F2" s="1"/>
      <c r="G2" s="1"/>
      <c r="H2" s="1"/>
      <c r="I2" s="1"/>
      <c r="J2" s="1"/>
      <c r="K2" s="1"/>
      <c r="L2" s="1"/>
      <c r="M2" s="1"/>
      <c r="N2" s="1"/>
      <c r="O2" s="1"/>
      <c r="P2" s="1"/>
      <c r="Q2" s="1"/>
      <c r="R2" s="1"/>
      <c r="S2" s="1"/>
      <c r="T2" s="1"/>
      <c r="U2" s="1"/>
    </row>
    <row r="3" spans="1:26" ht="13" x14ac:dyDescent="0.3">
      <c r="A3" s="1"/>
      <c r="B3" s="1"/>
      <c r="C3" s="1"/>
      <c r="D3" s="1"/>
      <c r="E3" s="1"/>
      <c r="F3" s="1"/>
      <c r="G3" s="1"/>
      <c r="H3" s="1"/>
      <c r="I3" s="1"/>
      <c r="J3" s="1"/>
      <c r="K3" s="1"/>
      <c r="L3" s="1"/>
      <c r="M3" s="1"/>
      <c r="N3" s="1"/>
      <c r="O3" s="1"/>
      <c r="P3" s="1"/>
      <c r="Q3" s="1"/>
      <c r="R3" s="1"/>
      <c r="S3" s="1"/>
      <c r="T3" s="1"/>
      <c r="U3" s="1"/>
    </row>
    <row r="4" spans="1:26" ht="13" x14ac:dyDescent="0.3">
      <c r="A4" s="1"/>
      <c r="B4" s="1"/>
      <c r="C4" s="1"/>
      <c r="D4" s="1"/>
      <c r="E4" s="1"/>
      <c r="F4" s="1"/>
      <c r="G4" s="1"/>
      <c r="H4" s="1"/>
      <c r="I4" s="1"/>
      <c r="J4" s="1"/>
      <c r="K4" s="1"/>
      <c r="L4" s="1"/>
      <c r="M4" s="1"/>
      <c r="N4" s="1"/>
      <c r="O4" s="1"/>
      <c r="P4" s="1"/>
      <c r="Q4" s="1"/>
      <c r="R4" s="1"/>
      <c r="S4" s="1"/>
      <c r="T4" s="1"/>
      <c r="U4" s="1"/>
    </row>
    <row r="5" spans="1:26" ht="13" x14ac:dyDescent="0.3">
      <c r="A5" s="1"/>
      <c r="B5" s="1"/>
      <c r="C5" s="1"/>
      <c r="D5" s="1"/>
      <c r="E5" s="1"/>
      <c r="F5" s="1"/>
      <c r="G5" s="1"/>
      <c r="H5" s="1"/>
      <c r="I5" s="1"/>
      <c r="J5" s="1"/>
      <c r="K5" s="1"/>
      <c r="L5" s="1"/>
      <c r="M5" s="1"/>
      <c r="N5" s="1"/>
      <c r="O5" s="1"/>
      <c r="P5" s="1"/>
      <c r="Q5" s="1"/>
      <c r="R5" s="1"/>
      <c r="S5" s="1"/>
      <c r="T5" s="1"/>
      <c r="U5" s="1"/>
    </row>
    <row r="6" spans="1:26" ht="15.75" customHeight="1" x14ac:dyDescent="0.3">
      <c r="A6" s="1"/>
      <c r="B6" s="1"/>
      <c r="C6" s="1"/>
      <c r="D6" s="1"/>
      <c r="E6" s="1"/>
      <c r="F6" s="1"/>
      <c r="G6" s="1"/>
      <c r="H6" s="1"/>
      <c r="I6" s="1"/>
      <c r="J6" s="1"/>
      <c r="K6" s="1"/>
      <c r="L6" s="1"/>
      <c r="M6" s="1"/>
      <c r="N6" s="1"/>
      <c r="O6" s="1"/>
      <c r="P6" s="1"/>
      <c r="Q6" s="1"/>
      <c r="R6" s="1"/>
      <c r="S6" s="1"/>
      <c r="T6" s="1"/>
      <c r="U6" s="1"/>
    </row>
    <row r="7" spans="1:26" ht="15.75" customHeight="1" x14ac:dyDescent="0.3">
      <c r="A7" s="1"/>
      <c r="B7" s="1"/>
      <c r="C7" s="1"/>
      <c r="D7" s="1"/>
      <c r="E7" s="1"/>
      <c r="F7" s="1"/>
      <c r="G7" s="1"/>
      <c r="H7" s="1"/>
      <c r="I7" s="1"/>
      <c r="J7" s="1"/>
      <c r="K7" s="1"/>
      <c r="L7" s="1"/>
      <c r="M7" s="1"/>
      <c r="N7" s="1"/>
      <c r="O7" s="1"/>
      <c r="P7" s="1"/>
      <c r="Q7" s="1"/>
      <c r="R7" s="1"/>
      <c r="S7" s="1"/>
      <c r="T7" s="1"/>
      <c r="U7" s="1"/>
    </row>
    <row r="8" spans="1:26" ht="15.75" customHeight="1" x14ac:dyDescent="0.3">
      <c r="A8" s="1"/>
      <c r="B8" s="1"/>
      <c r="C8" s="1"/>
      <c r="D8" s="1"/>
      <c r="E8" s="1"/>
      <c r="F8" s="1"/>
      <c r="G8" s="1"/>
      <c r="H8" s="1"/>
      <c r="I8" s="1"/>
      <c r="J8" s="1"/>
      <c r="K8" s="1"/>
      <c r="L8" s="1"/>
      <c r="M8" s="1"/>
      <c r="N8" s="1"/>
      <c r="O8" s="1"/>
      <c r="P8" s="1"/>
      <c r="Q8" s="1"/>
      <c r="R8" s="1"/>
      <c r="S8" s="1"/>
      <c r="T8" s="1"/>
      <c r="U8" s="1"/>
    </row>
    <row r="9" spans="1:26" ht="15.7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5.7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33" customHeight="1" x14ac:dyDescent="0.3">
      <c r="A16" s="1"/>
      <c r="B16" s="1"/>
      <c r="C16" s="1"/>
      <c r="D16" s="1"/>
      <c r="E16" s="1"/>
      <c r="F16" s="1"/>
      <c r="G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2"/>
      <c r="I17" s="2"/>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27.75" customHeight="1" x14ac:dyDescent="0.5">
      <c r="A22" s="1"/>
      <c r="B22" s="3" t="s">
        <v>0</v>
      </c>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39.75" customHeight="1" x14ac:dyDescent="0.5">
      <c r="A24" s="1"/>
      <c r="B24" s="3" t="s">
        <v>1</v>
      </c>
      <c r="C24" s="1"/>
      <c r="D24" s="1"/>
      <c r="E24" s="1"/>
      <c r="F24" s="1"/>
      <c r="G24" s="1"/>
      <c r="H24" s="533"/>
      <c r="I24" s="534"/>
      <c r="J24" s="1"/>
      <c r="K24" s="1"/>
      <c r="L24" s="1"/>
      <c r="M24" s="4"/>
      <c r="N24" s="1"/>
      <c r="O24" s="1"/>
      <c r="P24" s="1"/>
      <c r="Q24" s="1"/>
      <c r="R24" s="1"/>
      <c r="S24" s="1"/>
      <c r="T24" s="1"/>
      <c r="U24" s="1"/>
      <c r="V24" s="1"/>
      <c r="W24" s="1"/>
      <c r="X24" s="1"/>
      <c r="Y24" s="1"/>
      <c r="Z24" s="1"/>
    </row>
    <row r="25" spans="1:26" ht="39.75" customHeight="1" x14ac:dyDescent="0.3">
      <c r="A25" s="1"/>
      <c r="B25" s="535" t="s">
        <v>2</v>
      </c>
      <c r="C25" s="536"/>
      <c r="D25" s="536"/>
      <c r="E25" s="536"/>
      <c r="F25" s="536"/>
      <c r="G25" s="536"/>
      <c r="H25" s="536"/>
      <c r="I25" s="536"/>
      <c r="J25" s="536"/>
      <c r="K25" s="536"/>
      <c r="L25" s="536"/>
      <c r="M25" s="536"/>
      <c r="N25" s="536"/>
      <c r="O25" s="1"/>
      <c r="P25" s="1"/>
      <c r="Q25" s="1"/>
      <c r="R25" s="1"/>
      <c r="S25" s="1"/>
      <c r="T25" s="1"/>
      <c r="U25" s="1"/>
      <c r="V25" s="1"/>
      <c r="W25" s="1"/>
      <c r="X25" s="1"/>
      <c r="Y25" s="1"/>
      <c r="Z25" s="1"/>
    </row>
    <row r="26" spans="1:26" ht="72" customHeight="1" x14ac:dyDescent="0.3">
      <c r="A26" s="1"/>
      <c r="B26" s="536"/>
      <c r="C26" s="536"/>
      <c r="D26" s="536"/>
      <c r="E26" s="536"/>
      <c r="F26" s="536"/>
      <c r="G26" s="536"/>
      <c r="H26" s="536"/>
      <c r="I26" s="536"/>
      <c r="J26" s="536"/>
      <c r="K26" s="536"/>
      <c r="L26" s="536"/>
      <c r="M26" s="536"/>
      <c r="N26" s="536"/>
      <c r="O26" s="1"/>
      <c r="P26" s="1"/>
      <c r="Q26" s="1"/>
      <c r="R26" s="1"/>
      <c r="S26" s="1"/>
      <c r="T26" s="1"/>
      <c r="U26" s="1"/>
      <c r="V26" s="1"/>
      <c r="W26" s="1"/>
      <c r="X26" s="1"/>
      <c r="Y26" s="1"/>
      <c r="Z26" s="1"/>
    </row>
    <row r="27" spans="1:26" ht="19.5" customHeight="1" x14ac:dyDescent="0.3">
      <c r="A27" s="1"/>
      <c r="B27" s="5"/>
      <c r="C27" s="5"/>
      <c r="D27" s="5"/>
      <c r="E27" s="5"/>
      <c r="F27" s="5"/>
      <c r="G27" s="5"/>
      <c r="H27" s="5"/>
      <c r="I27" s="5"/>
      <c r="J27" s="5"/>
      <c r="K27" s="5"/>
      <c r="L27" s="5"/>
      <c r="M27" s="5"/>
      <c r="N27" s="5"/>
      <c r="O27" s="1"/>
      <c r="P27" s="1"/>
      <c r="Q27" s="1"/>
      <c r="R27" s="1"/>
      <c r="S27" s="1"/>
      <c r="T27" s="1"/>
      <c r="U27" s="1"/>
      <c r="V27" s="1"/>
      <c r="W27" s="1"/>
      <c r="X27" s="1"/>
      <c r="Y27" s="1"/>
      <c r="Z27" s="1"/>
    </row>
    <row r="28" spans="1:26" ht="39.75" customHeight="1" x14ac:dyDescent="0.5">
      <c r="A28" s="1"/>
      <c r="B28" s="3" t="s">
        <v>3</v>
      </c>
      <c r="C28" s="6"/>
      <c r="D28" s="1"/>
      <c r="E28" s="1"/>
      <c r="F28" s="1"/>
      <c r="G28" s="1"/>
      <c r="H28" s="1"/>
      <c r="I28" s="1"/>
      <c r="J28" s="1"/>
      <c r="K28" s="1"/>
      <c r="L28" s="1"/>
      <c r="M28" s="1"/>
      <c r="N28" s="1"/>
      <c r="O28" s="1"/>
      <c r="P28" s="1"/>
      <c r="Q28" s="1"/>
      <c r="R28" s="1"/>
      <c r="S28" s="1"/>
      <c r="T28" s="1"/>
      <c r="U28" s="1"/>
      <c r="V28" s="1"/>
      <c r="W28" s="1"/>
      <c r="X28" s="1"/>
      <c r="Y28" s="1"/>
      <c r="Z28" s="1"/>
    </row>
    <row r="29" spans="1:26" ht="39.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39.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39.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39.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39.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39.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39.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39.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39.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39.75" customHeight="1" x14ac:dyDescent="0.3">
      <c r="A38" s="1"/>
      <c r="B38" s="7" t="s">
        <v>4</v>
      </c>
      <c r="D38" s="1"/>
      <c r="E38" s="1"/>
      <c r="F38" s="1"/>
      <c r="G38" s="1"/>
      <c r="H38" s="1"/>
      <c r="I38" s="1"/>
      <c r="J38" s="1"/>
      <c r="K38" s="1"/>
      <c r="L38" s="1"/>
      <c r="M38" s="1"/>
      <c r="N38" s="1"/>
      <c r="O38" s="1"/>
      <c r="P38" s="1"/>
      <c r="Q38" s="1"/>
      <c r="R38" s="1"/>
      <c r="S38" s="1"/>
      <c r="T38" s="1"/>
      <c r="U38" s="1"/>
      <c r="V38" s="1"/>
      <c r="W38" s="1"/>
      <c r="X38" s="1"/>
      <c r="Y38" s="1"/>
      <c r="Z38" s="1"/>
    </row>
    <row r="39" spans="1:26" ht="39.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39.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39.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39.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39.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39.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39.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39.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39.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39.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39.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39.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39.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39.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39.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39.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39.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39.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39.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39.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39.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39.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39.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39.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39.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39.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39.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39.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39.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39.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39.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39.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39.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39.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39.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39.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39.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39.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39.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39.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39.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39.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39.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39.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39.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39.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39.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39.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39.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39.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39.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39.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39.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39.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39.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39.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39.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39.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39.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39.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39.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39.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39.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row r="230" spans="1:26" ht="15.75" customHeight="1" x14ac:dyDescent="0.3"/>
    <row r="231" spans="1:26" ht="15.75" customHeight="1" x14ac:dyDescent="0.3"/>
    <row r="232" spans="1:26" ht="15.75" customHeight="1" x14ac:dyDescent="0.3"/>
    <row r="233" spans="1:26" ht="15.75" customHeight="1" x14ac:dyDescent="0.3"/>
    <row r="234" spans="1:26" ht="15.75" customHeight="1" x14ac:dyDescent="0.3"/>
    <row r="235" spans="1:26" ht="15.75" customHeight="1" x14ac:dyDescent="0.3"/>
    <row r="236" spans="1:26" ht="15.75" customHeight="1" x14ac:dyDescent="0.3"/>
    <row r="237" spans="1:26" ht="15.75" customHeight="1" x14ac:dyDescent="0.3"/>
    <row r="238" spans="1:26" ht="15.75" customHeight="1" x14ac:dyDescent="0.3"/>
    <row r="239" spans="1:26" ht="15.75" customHeight="1" x14ac:dyDescent="0.3"/>
    <row r="240" spans="1:26"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H24:I24"/>
    <mergeCell ref="B25:N26"/>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81" customWidth="1"/>
    <col min="3" max="3" width="24.296875" customWidth="1"/>
    <col min="4" max="4" width="15.8984375" customWidth="1"/>
    <col min="5" max="5" width="11.8984375" customWidth="1"/>
    <col min="7" max="9" width="14.09765625" customWidth="1"/>
    <col min="10" max="10" width="18.5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74</v>
      </c>
      <c r="C2" s="32"/>
      <c r="D2" s="203" t="s">
        <v>141</v>
      </c>
      <c r="E2" s="77"/>
      <c r="F2" s="79"/>
      <c r="G2" s="34" t="s">
        <v>54</v>
      </c>
      <c r="H2" s="32"/>
      <c r="I2" s="32"/>
      <c r="J2" s="32"/>
      <c r="K2" s="32"/>
      <c r="L2" s="50"/>
      <c r="M2" s="50"/>
      <c r="N2" s="50"/>
      <c r="O2" s="50"/>
      <c r="P2" s="50"/>
      <c r="Q2" s="50"/>
      <c r="R2" s="50"/>
      <c r="S2" s="50"/>
      <c r="T2" s="50"/>
      <c r="U2" s="50"/>
      <c r="V2" s="50"/>
      <c r="W2" s="50"/>
      <c r="X2" s="50"/>
      <c r="Y2" s="50"/>
      <c r="Z2" s="50"/>
    </row>
    <row r="3" spans="1:26" ht="15.5" x14ac:dyDescent="0.35">
      <c r="A3" s="50"/>
      <c r="B3" s="31"/>
      <c r="C3" s="32"/>
      <c r="D3" s="78" t="s">
        <v>222</v>
      </c>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3"/>
      <c r="E4" s="151"/>
      <c r="F4" s="151"/>
      <c r="G4" s="152"/>
      <c r="H4" s="152"/>
      <c r="I4" s="152"/>
      <c r="J4" s="153"/>
      <c r="K4" s="32"/>
      <c r="L4" s="50"/>
      <c r="M4" s="50"/>
      <c r="N4" s="50"/>
      <c r="O4" s="50"/>
      <c r="P4" s="50"/>
      <c r="Q4" s="50"/>
      <c r="R4" s="50"/>
      <c r="S4" s="50"/>
      <c r="T4" s="50"/>
      <c r="U4" s="50"/>
      <c r="V4" s="50"/>
      <c r="W4" s="50"/>
      <c r="X4" s="50"/>
      <c r="Y4" s="50"/>
      <c r="Z4" s="50"/>
    </row>
    <row r="5" spans="1:26" ht="15.5" x14ac:dyDescent="0.35">
      <c r="A5" s="50"/>
      <c r="B5" s="556" t="s">
        <v>79</v>
      </c>
      <c r="C5" s="546"/>
      <c r="D5" s="534"/>
      <c r="E5" s="81"/>
      <c r="F5" s="81"/>
      <c r="G5" s="81"/>
      <c r="H5" s="81"/>
      <c r="I5" s="81"/>
      <c r="J5" s="82"/>
      <c r="K5" s="32"/>
      <c r="L5" s="50"/>
      <c r="M5" s="50"/>
      <c r="N5" s="50"/>
      <c r="O5" s="50"/>
      <c r="P5" s="50"/>
      <c r="Q5" s="50"/>
      <c r="R5" s="50"/>
      <c r="S5" s="50"/>
      <c r="T5" s="50"/>
      <c r="U5" s="50"/>
      <c r="V5" s="50"/>
      <c r="W5" s="50"/>
      <c r="X5" s="50"/>
      <c r="Y5" s="50"/>
      <c r="Z5" s="50"/>
    </row>
    <row r="6" spans="1:26" ht="40.5" customHeight="1" x14ac:dyDescent="0.35">
      <c r="A6" s="50"/>
      <c r="B6" s="568" t="s">
        <v>223</v>
      </c>
      <c r="C6" s="560"/>
      <c r="D6" s="560"/>
      <c r="E6" s="560"/>
      <c r="F6" s="560"/>
      <c r="G6" s="560"/>
      <c r="H6" s="560"/>
      <c r="I6" s="560"/>
      <c r="J6" s="561"/>
      <c r="K6" s="32"/>
      <c r="L6" s="50"/>
      <c r="M6" s="50"/>
      <c r="N6" s="50"/>
      <c r="O6" s="50"/>
      <c r="P6" s="50"/>
      <c r="Q6" s="50"/>
      <c r="R6" s="50"/>
      <c r="S6" s="50"/>
      <c r="T6" s="50"/>
      <c r="U6" s="50"/>
      <c r="V6" s="50"/>
      <c r="W6" s="50"/>
      <c r="X6" s="50"/>
      <c r="Y6" s="50"/>
      <c r="Z6" s="50"/>
    </row>
    <row r="7" spans="1:26" ht="21.75" customHeight="1" x14ac:dyDescent="0.35">
      <c r="A7" s="50"/>
      <c r="B7" s="556" t="s">
        <v>81</v>
      </c>
      <c r="C7" s="546"/>
      <c r="D7" s="534"/>
      <c r="E7" s="81"/>
      <c r="F7" s="81"/>
      <c r="G7" s="81"/>
      <c r="H7" s="81"/>
      <c r="I7" s="81"/>
      <c r="J7" s="82"/>
      <c r="K7" s="32"/>
      <c r="L7" s="50"/>
      <c r="M7" s="50"/>
      <c r="N7" s="50"/>
      <c r="O7" s="50"/>
      <c r="P7" s="50"/>
      <c r="Q7" s="50"/>
      <c r="R7" s="50"/>
      <c r="S7" s="50"/>
      <c r="T7" s="50"/>
      <c r="U7" s="50"/>
      <c r="V7" s="50"/>
      <c r="W7" s="50"/>
      <c r="X7" s="50"/>
      <c r="Y7" s="50"/>
      <c r="Z7" s="50"/>
    </row>
    <row r="8" spans="1:26" ht="50.25" customHeight="1" x14ac:dyDescent="0.35">
      <c r="A8" s="50"/>
      <c r="B8" s="577" t="s">
        <v>224</v>
      </c>
      <c r="C8" s="538"/>
      <c r="D8" s="538"/>
      <c r="E8" s="538"/>
      <c r="F8" s="538"/>
      <c r="G8" s="538"/>
      <c r="H8" s="538"/>
      <c r="I8" s="538"/>
      <c r="J8" s="541"/>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4"/>
      <c r="J10" s="84"/>
      <c r="K10" s="84"/>
      <c r="L10" s="212"/>
      <c r="M10" s="50"/>
      <c r="N10" s="50"/>
      <c r="O10" s="50"/>
      <c r="P10" s="50"/>
      <c r="Q10" s="50"/>
      <c r="R10" s="50"/>
      <c r="S10" s="50"/>
      <c r="T10" s="50"/>
      <c r="U10" s="50"/>
      <c r="V10" s="50"/>
      <c r="W10" s="50"/>
      <c r="X10" s="50"/>
      <c r="Y10" s="50"/>
      <c r="Z10" s="50"/>
    </row>
    <row r="11" spans="1:26" ht="15.75" customHeight="1" x14ac:dyDescent="0.35">
      <c r="A11" s="50"/>
      <c r="B11" s="87" t="s">
        <v>144</v>
      </c>
      <c r="C11" s="88"/>
      <c r="D11" s="43" t="s">
        <v>237</v>
      </c>
      <c r="E11" s="205"/>
      <c r="F11" s="205"/>
      <c r="G11" s="91" t="s">
        <v>226</v>
      </c>
      <c r="H11" s="91"/>
      <c r="I11" s="91"/>
      <c r="J11" s="91"/>
      <c r="K11" s="91"/>
      <c r="L11" s="92"/>
      <c r="M11" s="50"/>
      <c r="N11" s="50"/>
      <c r="O11" s="50"/>
      <c r="P11" s="50"/>
      <c r="Q11" s="50"/>
      <c r="R11" s="50"/>
      <c r="S11" s="50"/>
      <c r="T11" s="50"/>
      <c r="U11" s="50"/>
      <c r="V11" s="50"/>
      <c r="W11" s="50"/>
      <c r="X11" s="50"/>
      <c r="Y11" s="50"/>
      <c r="Z11" s="50"/>
    </row>
    <row r="12" spans="1:26" ht="15.75" customHeight="1" x14ac:dyDescent="0.35">
      <c r="A12" s="50"/>
      <c r="B12" s="89" t="s">
        <v>145</v>
      </c>
      <c r="C12" s="88" t="s">
        <v>94</v>
      </c>
      <c r="D12" s="90">
        <v>1000</v>
      </c>
      <c r="E12" s="204"/>
      <c r="F12" s="204"/>
      <c r="G12" s="91"/>
      <c r="H12" s="91"/>
      <c r="I12" s="91"/>
      <c r="J12" s="91"/>
      <c r="K12" s="91"/>
      <c r="L12" s="92"/>
      <c r="M12" s="50"/>
      <c r="N12" s="50"/>
      <c r="O12" s="50"/>
      <c r="P12" s="50"/>
      <c r="Q12" s="50"/>
      <c r="R12" s="50"/>
      <c r="S12" s="50"/>
      <c r="T12" s="50"/>
      <c r="U12" s="50"/>
      <c r="V12" s="50"/>
      <c r="W12" s="50"/>
      <c r="X12" s="50"/>
      <c r="Y12" s="50"/>
      <c r="Z12" s="50"/>
    </row>
    <row r="13" spans="1:26" ht="15.75" customHeight="1" x14ac:dyDescent="0.35">
      <c r="A13" s="50"/>
      <c r="B13" s="89" t="s">
        <v>146</v>
      </c>
      <c r="C13" s="88" t="s">
        <v>94</v>
      </c>
      <c r="D13" s="90">
        <v>1000</v>
      </c>
      <c r="E13" s="204"/>
      <c r="F13" s="204"/>
      <c r="G13" s="91"/>
      <c r="H13" s="91"/>
      <c r="I13" s="91"/>
      <c r="J13" s="91"/>
      <c r="K13" s="91"/>
      <c r="L13" s="92"/>
      <c r="M13" s="50"/>
      <c r="N13" s="50"/>
      <c r="O13" s="50"/>
      <c r="P13" s="50"/>
      <c r="Q13" s="50"/>
      <c r="R13" s="50"/>
      <c r="S13" s="50"/>
      <c r="T13" s="50"/>
      <c r="U13" s="50"/>
      <c r="V13" s="50"/>
      <c r="W13" s="50"/>
      <c r="X13" s="50"/>
      <c r="Y13" s="50"/>
      <c r="Z13" s="50"/>
    </row>
    <row r="14" spans="1:26" ht="15.75" customHeight="1" x14ac:dyDescent="0.35">
      <c r="A14" s="50"/>
      <c r="B14" s="89" t="s">
        <v>147</v>
      </c>
      <c r="C14" s="88" t="s">
        <v>94</v>
      </c>
      <c r="D14" s="90">
        <v>1000</v>
      </c>
      <c r="E14" s="204"/>
      <c r="F14" s="204"/>
      <c r="G14" s="91"/>
      <c r="H14" s="91"/>
      <c r="I14" s="91"/>
      <c r="J14" s="91"/>
      <c r="K14" s="91"/>
      <c r="L14" s="92"/>
      <c r="M14" s="50"/>
      <c r="N14" s="50"/>
      <c r="O14" s="50"/>
      <c r="P14" s="50"/>
      <c r="Q14" s="50"/>
      <c r="R14" s="50"/>
      <c r="S14" s="50"/>
      <c r="T14" s="50"/>
      <c r="U14" s="50"/>
      <c r="V14" s="50"/>
      <c r="W14" s="50"/>
      <c r="X14" s="50"/>
      <c r="Y14" s="50"/>
      <c r="Z14" s="50"/>
    </row>
    <row r="15" spans="1:26" ht="15.75" customHeight="1" x14ac:dyDescent="0.35">
      <c r="A15" s="50"/>
      <c r="B15" s="89" t="s">
        <v>148</v>
      </c>
      <c r="C15" s="88" t="s">
        <v>94</v>
      </c>
      <c r="D15" s="90">
        <v>1000</v>
      </c>
      <c r="E15" s="204"/>
      <c r="F15" s="204"/>
      <c r="G15" s="91"/>
      <c r="H15" s="91"/>
      <c r="I15" s="91"/>
      <c r="J15" s="91"/>
      <c r="K15" s="91"/>
      <c r="L15" s="92"/>
      <c r="M15" s="50"/>
      <c r="N15" s="50"/>
      <c r="O15" s="50"/>
      <c r="P15" s="50"/>
      <c r="Q15" s="50"/>
      <c r="R15" s="50"/>
      <c r="S15" s="50"/>
      <c r="T15" s="50"/>
      <c r="U15" s="50"/>
      <c r="V15" s="50"/>
      <c r="W15" s="50"/>
      <c r="X15" s="50"/>
      <c r="Y15" s="50"/>
      <c r="Z15" s="50"/>
    </row>
    <row r="16" spans="1:26" ht="15.75" customHeight="1" x14ac:dyDescent="0.35">
      <c r="A16" s="50"/>
      <c r="B16" s="89" t="s">
        <v>149</v>
      </c>
      <c r="C16" s="88" t="s">
        <v>94</v>
      </c>
      <c r="D16" s="90">
        <v>1000</v>
      </c>
      <c r="E16" s="204"/>
      <c r="F16" s="204"/>
      <c r="G16" s="91"/>
      <c r="H16" s="91"/>
      <c r="I16" s="91"/>
      <c r="J16" s="91"/>
      <c r="K16" s="91"/>
      <c r="L16" s="92"/>
      <c r="M16" s="50"/>
      <c r="N16" s="50"/>
      <c r="O16" s="50"/>
      <c r="P16" s="50"/>
      <c r="Q16" s="50"/>
      <c r="R16" s="50"/>
      <c r="S16" s="50"/>
      <c r="T16" s="50"/>
      <c r="U16" s="50"/>
      <c r="V16" s="50"/>
      <c r="W16" s="50"/>
      <c r="X16" s="50"/>
      <c r="Y16" s="50"/>
      <c r="Z16" s="50"/>
    </row>
    <row r="17" spans="1:26" ht="15.75" customHeight="1" x14ac:dyDescent="0.35">
      <c r="A17" s="50"/>
      <c r="B17" s="89" t="s">
        <v>150</v>
      </c>
      <c r="C17" s="88" t="s">
        <v>94</v>
      </c>
      <c r="D17" s="90">
        <v>1000</v>
      </c>
      <c r="E17" s="204"/>
      <c r="F17" s="204"/>
      <c r="G17" s="91"/>
      <c r="H17" s="91"/>
      <c r="I17" s="91"/>
      <c r="J17" s="91"/>
      <c r="K17" s="91"/>
      <c r="L17" s="92"/>
      <c r="M17" s="50"/>
      <c r="N17" s="50"/>
      <c r="O17" s="50"/>
      <c r="P17" s="50"/>
      <c r="Q17" s="50"/>
      <c r="R17" s="50"/>
      <c r="S17" s="50"/>
      <c r="T17" s="50"/>
      <c r="U17" s="50"/>
      <c r="V17" s="50"/>
      <c r="W17" s="50"/>
      <c r="X17" s="50"/>
      <c r="Y17" s="50"/>
      <c r="Z17" s="50"/>
    </row>
    <row r="18" spans="1:26" ht="15.75" customHeight="1" x14ac:dyDescent="0.35">
      <c r="A18" s="50"/>
      <c r="B18" s="89" t="s">
        <v>151</v>
      </c>
      <c r="C18" s="88" t="s">
        <v>94</v>
      </c>
      <c r="D18" s="90">
        <v>1000</v>
      </c>
      <c r="E18" s="204"/>
      <c r="F18" s="204"/>
      <c r="G18" s="91"/>
      <c r="H18" s="91"/>
      <c r="I18" s="91"/>
      <c r="J18" s="91"/>
      <c r="K18" s="91"/>
      <c r="L18" s="92"/>
      <c r="M18" s="50"/>
      <c r="N18" s="50"/>
      <c r="O18" s="50"/>
      <c r="P18" s="50"/>
      <c r="Q18" s="50"/>
      <c r="R18" s="50"/>
      <c r="S18" s="50"/>
      <c r="T18" s="50"/>
      <c r="U18" s="50"/>
      <c r="V18" s="50"/>
      <c r="W18" s="50"/>
      <c r="X18" s="50"/>
      <c r="Y18" s="50"/>
      <c r="Z18" s="50"/>
    </row>
    <row r="19" spans="1:26" ht="15.75" customHeight="1" x14ac:dyDescent="0.35">
      <c r="A19" s="50"/>
      <c r="B19" s="89" t="s">
        <v>152</v>
      </c>
      <c r="C19" s="88" t="s">
        <v>94</v>
      </c>
      <c r="D19" s="90">
        <v>1000</v>
      </c>
      <c r="E19" s="204"/>
      <c r="F19" s="204"/>
      <c r="G19" s="91"/>
      <c r="H19" s="91"/>
      <c r="I19" s="91"/>
      <c r="J19" s="91"/>
      <c r="K19" s="91"/>
      <c r="L19" s="92"/>
      <c r="M19" s="50"/>
      <c r="N19" s="50"/>
      <c r="O19" s="50"/>
      <c r="P19" s="50"/>
      <c r="Q19" s="50"/>
      <c r="R19" s="50"/>
      <c r="S19" s="50"/>
      <c r="T19" s="50"/>
      <c r="U19" s="50"/>
      <c r="V19" s="50"/>
      <c r="W19" s="50"/>
      <c r="X19" s="50"/>
      <c r="Y19" s="50"/>
      <c r="Z19" s="50"/>
    </row>
    <row r="20" spans="1:26" ht="15.75" customHeight="1" x14ac:dyDescent="0.35">
      <c r="A20" s="50"/>
      <c r="B20" s="89" t="s">
        <v>153</v>
      </c>
      <c r="C20" s="88" t="s">
        <v>94</v>
      </c>
      <c r="D20" s="90">
        <v>1000</v>
      </c>
      <c r="E20" s="204"/>
      <c r="F20" s="204"/>
      <c r="G20" s="91"/>
      <c r="H20" s="91"/>
      <c r="I20" s="91"/>
      <c r="J20" s="91"/>
      <c r="K20" s="91"/>
      <c r="L20" s="92"/>
      <c r="M20" s="50"/>
      <c r="N20" s="50"/>
      <c r="O20" s="50"/>
      <c r="P20" s="50"/>
      <c r="Q20" s="50"/>
      <c r="R20" s="50"/>
      <c r="S20" s="50"/>
      <c r="T20" s="50"/>
      <c r="U20" s="50"/>
      <c r="V20" s="50"/>
      <c r="W20" s="50"/>
      <c r="X20" s="50"/>
      <c r="Y20" s="50"/>
      <c r="Z20" s="50"/>
    </row>
    <row r="21" spans="1:26" ht="15.75" customHeight="1" x14ac:dyDescent="0.35">
      <c r="A21" s="50"/>
      <c r="B21" s="89" t="s">
        <v>154</v>
      </c>
      <c r="C21" s="88" t="s">
        <v>94</v>
      </c>
      <c r="D21" s="90">
        <v>1000</v>
      </c>
      <c r="E21" s="204"/>
      <c r="F21" s="204"/>
      <c r="G21" s="91"/>
      <c r="H21" s="91"/>
      <c r="I21" s="91"/>
      <c r="J21" s="91"/>
      <c r="K21" s="91"/>
      <c r="L21" s="92"/>
      <c r="M21" s="50"/>
      <c r="N21" s="50"/>
      <c r="O21" s="50"/>
      <c r="P21" s="50"/>
      <c r="Q21" s="50"/>
      <c r="R21" s="50"/>
      <c r="S21" s="50"/>
      <c r="T21" s="50"/>
      <c r="U21" s="50"/>
      <c r="V21" s="50"/>
      <c r="W21" s="50"/>
      <c r="X21" s="50"/>
      <c r="Y21" s="50"/>
      <c r="Z21" s="50"/>
    </row>
    <row r="22" spans="1:26" ht="15.75" customHeight="1" x14ac:dyDescent="0.35">
      <c r="A22" s="50"/>
      <c r="B22" s="89" t="s">
        <v>155</v>
      </c>
      <c r="C22" s="88" t="s">
        <v>94</v>
      </c>
      <c r="D22" s="90">
        <v>1000</v>
      </c>
      <c r="E22" s="204"/>
      <c r="F22" s="204"/>
      <c r="G22" s="91"/>
      <c r="H22" s="91"/>
      <c r="I22" s="91"/>
      <c r="J22" s="91"/>
      <c r="K22" s="91"/>
      <c r="L22" s="92"/>
      <c r="M22" s="50"/>
      <c r="N22" s="50"/>
      <c r="O22" s="50"/>
      <c r="P22" s="50"/>
      <c r="Q22" s="50"/>
      <c r="R22" s="50"/>
      <c r="S22" s="50"/>
      <c r="T22" s="50"/>
      <c r="U22" s="50"/>
      <c r="V22" s="50"/>
      <c r="W22" s="50"/>
      <c r="X22" s="50"/>
      <c r="Y22" s="50"/>
      <c r="Z22" s="50"/>
    </row>
    <row r="23" spans="1:26" ht="15.75" customHeight="1" x14ac:dyDescent="0.35">
      <c r="A23" s="50"/>
      <c r="B23" s="89" t="s">
        <v>156</v>
      </c>
      <c r="C23" s="88" t="s">
        <v>94</v>
      </c>
      <c r="D23" s="90">
        <v>1000</v>
      </c>
      <c r="E23" s="204"/>
      <c r="F23" s="204"/>
      <c r="G23" s="91"/>
      <c r="H23" s="91"/>
      <c r="I23" s="91"/>
      <c r="J23" s="91"/>
      <c r="K23" s="91"/>
      <c r="L23" s="92"/>
      <c r="M23" s="50"/>
      <c r="N23" s="50"/>
      <c r="O23" s="50"/>
      <c r="P23" s="50"/>
      <c r="Q23" s="50"/>
      <c r="R23" s="50"/>
      <c r="S23" s="50"/>
      <c r="T23" s="50"/>
      <c r="U23" s="50"/>
      <c r="V23" s="50"/>
      <c r="W23" s="50"/>
      <c r="X23" s="50"/>
      <c r="Y23" s="50"/>
      <c r="Z23" s="50"/>
    </row>
    <row r="24" spans="1:26" ht="15.75" customHeight="1" x14ac:dyDescent="0.35">
      <c r="A24" s="50"/>
      <c r="B24" s="154" t="s">
        <v>157</v>
      </c>
      <c r="C24" s="88" t="s">
        <v>94</v>
      </c>
      <c r="D24" s="90">
        <v>1000</v>
      </c>
      <c r="E24" s="204"/>
      <c r="F24" s="204"/>
      <c r="G24" s="91"/>
      <c r="H24" s="91"/>
      <c r="I24" s="91"/>
      <c r="J24" s="91"/>
      <c r="K24" s="91"/>
      <c r="L24" s="92"/>
      <c r="M24" s="50"/>
      <c r="N24" s="50"/>
      <c r="O24" s="50"/>
      <c r="P24" s="50"/>
      <c r="Q24" s="50"/>
      <c r="R24" s="50"/>
      <c r="S24" s="50"/>
      <c r="T24" s="50"/>
      <c r="U24" s="50"/>
      <c r="V24" s="50"/>
      <c r="W24" s="50"/>
      <c r="X24" s="50"/>
      <c r="Y24" s="50"/>
      <c r="Z24" s="50"/>
    </row>
    <row r="25" spans="1:26" ht="15.75" customHeight="1" x14ac:dyDescent="0.35">
      <c r="A25" s="50"/>
      <c r="B25" s="89" t="s">
        <v>158</v>
      </c>
      <c r="C25" s="88" t="s">
        <v>94</v>
      </c>
      <c r="D25" s="90">
        <v>1000</v>
      </c>
      <c r="E25" s="204"/>
      <c r="F25" s="204"/>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93" t="s">
        <v>65</v>
      </c>
      <c r="C26" s="88" t="s">
        <v>94</v>
      </c>
      <c r="D26" s="94">
        <f>SUM(D12:D25)</f>
        <v>14000</v>
      </c>
      <c r="E26" s="94"/>
      <c r="F26" s="94"/>
      <c r="G26" s="91"/>
      <c r="H26" s="91"/>
      <c r="I26" s="91"/>
      <c r="J26" s="91"/>
      <c r="K26" s="91"/>
      <c r="L26" s="92"/>
      <c r="M26" s="50"/>
      <c r="N26" s="50"/>
      <c r="O26" s="50"/>
      <c r="P26" s="50"/>
      <c r="Q26" s="50"/>
      <c r="R26" s="50"/>
      <c r="S26" s="50"/>
      <c r="T26" s="50"/>
      <c r="U26" s="50"/>
      <c r="V26" s="50"/>
      <c r="W26" s="50"/>
      <c r="X26" s="50"/>
      <c r="Y26" s="50"/>
      <c r="Z26" s="50"/>
    </row>
    <row r="27" spans="1:26" ht="36" customHeight="1" x14ac:dyDescent="0.35">
      <c r="A27" s="50"/>
      <c r="B27" s="87" t="s">
        <v>238</v>
      </c>
      <c r="C27" s="88"/>
      <c r="D27" s="43" t="s">
        <v>89</v>
      </c>
      <c r="E27" s="42" t="s">
        <v>90</v>
      </c>
      <c r="F27" s="42" t="s">
        <v>91</v>
      </c>
      <c r="G27" s="563" t="s">
        <v>228</v>
      </c>
      <c r="H27" s="546"/>
      <c r="I27" s="546"/>
      <c r="J27" s="546"/>
      <c r="K27" s="546"/>
      <c r="L27" s="558"/>
      <c r="M27" s="50"/>
      <c r="N27" s="50"/>
      <c r="O27" s="50"/>
      <c r="P27" s="50"/>
      <c r="Q27" s="50"/>
      <c r="R27" s="50"/>
      <c r="S27" s="50"/>
      <c r="T27" s="50"/>
      <c r="U27" s="50"/>
      <c r="V27" s="50"/>
      <c r="W27" s="50"/>
      <c r="X27" s="50"/>
      <c r="Y27" s="50"/>
      <c r="Z27" s="50"/>
    </row>
    <row r="28" spans="1:26" ht="15.75" customHeight="1" x14ac:dyDescent="0.35">
      <c r="A28" s="50"/>
      <c r="B28" s="89" t="s">
        <v>145</v>
      </c>
      <c r="C28" s="88" t="s">
        <v>109</v>
      </c>
      <c r="D28" s="97">
        <v>0.01</v>
      </c>
      <c r="E28" s="97">
        <v>0</v>
      </c>
      <c r="F28" s="97">
        <v>0</v>
      </c>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89" t="s">
        <v>146</v>
      </c>
      <c r="C29" s="88" t="s">
        <v>109</v>
      </c>
      <c r="D29" s="97">
        <v>0.01</v>
      </c>
      <c r="E29" s="97">
        <v>0</v>
      </c>
      <c r="F29" s="97">
        <v>0</v>
      </c>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89" t="s">
        <v>147</v>
      </c>
      <c r="C30" s="88" t="s">
        <v>109</v>
      </c>
      <c r="D30" s="97">
        <v>0</v>
      </c>
      <c r="E30" s="97">
        <v>0.01</v>
      </c>
      <c r="F30" s="97">
        <v>0</v>
      </c>
      <c r="G30" s="91"/>
      <c r="H30" s="91"/>
      <c r="I30" s="91"/>
      <c r="J30" s="91"/>
      <c r="K30" s="91"/>
      <c r="L30" s="92"/>
      <c r="M30" s="50"/>
      <c r="N30" s="50"/>
      <c r="O30" s="50"/>
      <c r="P30" s="50"/>
      <c r="Q30" s="50"/>
      <c r="R30" s="50"/>
      <c r="S30" s="50"/>
      <c r="T30" s="50"/>
      <c r="U30" s="50"/>
      <c r="V30" s="50"/>
      <c r="W30" s="50"/>
      <c r="X30" s="50"/>
      <c r="Y30" s="50"/>
      <c r="Z30" s="50"/>
    </row>
    <row r="31" spans="1:26" ht="15.75" customHeight="1" x14ac:dyDescent="0.35">
      <c r="A31" s="50"/>
      <c r="B31" s="89" t="s">
        <v>148</v>
      </c>
      <c r="C31" s="88" t="s">
        <v>109</v>
      </c>
      <c r="D31" s="97">
        <v>0</v>
      </c>
      <c r="E31" s="97">
        <v>0.03</v>
      </c>
      <c r="F31" s="97">
        <v>0.03</v>
      </c>
      <c r="G31" s="91"/>
      <c r="H31" s="91"/>
      <c r="I31" s="91"/>
      <c r="J31" s="91"/>
      <c r="K31" s="91"/>
      <c r="L31" s="92"/>
      <c r="M31" s="50"/>
      <c r="N31" s="50"/>
      <c r="O31" s="50"/>
      <c r="P31" s="50"/>
      <c r="Q31" s="50"/>
      <c r="R31" s="50"/>
      <c r="S31" s="50"/>
      <c r="T31" s="50"/>
      <c r="U31" s="50"/>
      <c r="V31" s="50"/>
      <c r="W31" s="50"/>
      <c r="X31" s="50"/>
      <c r="Y31" s="50"/>
      <c r="Z31" s="50"/>
    </row>
    <row r="32" spans="1:26" ht="15.75" customHeight="1" x14ac:dyDescent="0.35">
      <c r="A32" s="50"/>
      <c r="B32" s="89" t="s">
        <v>149</v>
      </c>
      <c r="C32" s="88" t="s">
        <v>109</v>
      </c>
      <c r="D32" s="97">
        <v>0</v>
      </c>
      <c r="E32" s="97">
        <v>0</v>
      </c>
      <c r="F32" s="97">
        <v>0</v>
      </c>
      <c r="G32" s="91"/>
      <c r="H32" s="91"/>
      <c r="I32" s="91"/>
      <c r="J32" s="91"/>
      <c r="K32" s="91"/>
      <c r="L32" s="92"/>
      <c r="M32" s="50"/>
      <c r="N32" s="50"/>
      <c r="O32" s="50"/>
      <c r="P32" s="50"/>
      <c r="Q32" s="50"/>
      <c r="R32" s="50"/>
      <c r="S32" s="50"/>
      <c r="T32" s="50"/>
      <c r="U32" s="50"/>
      <c r="V32" s="50"/>
      <c r="W32" s="50"/>
      <c r="X32" s="50"/>
      <c r="Y32" s="50"/>
      <c r="Z32" s="50"/>
    </row>
    <row r="33" spans="1:26" ht="15.75" customHeight="1" x14ac:dyDescent="0.35">
      <c r="A33" s="50"/>
      <c r="B33" s="89" t="s">
        <v>150</v>
      </c>
      <c r="C33" s="88" t="s">
        <v>109</v>
      </c>
      <c r="D33" s="97">
        <v>0</v>
      </c>
      <c r="E33" s="97">
        <v>0</v>
      </c>
      <c r="F33" s="97">
        <v>0.01</v>
      </c>
      <c r="G33" s="91"/>
      <c r="H33" s="91"/>
      <c r="I33" s="91"/>
      <c r="J33" s="91"/>
      <c r="K33" s="91"/>
      <c r="L33" s="92"/>
      <c r="M33" s="50"/>
      <c r="N33" s="50"/>
      <c r="O33" s="50"/>
      <c r="P33" s="50"/>
      <c r="Q33" s="50"/>
      <c r="R33" s="50"/>
      <c r="S33" s="50"/>
      <c r="T33" s="50"/>
      <c r="U33" s="50"/>
      <c r="V33" s="50"/>
      <c r="W33" s="50"/>
      <c r="X33" s="50"/>
      <c r="Y33" s="50"/>
      <c r="Z33" s="50"/>
    </row>
    <row r="34" spans="1:26" ht="15.75" customHeight="1" x14ac:dyDescent="0.35">
      <c r="A34" s="50"/>
      <c r="B34" s="89" t="s">
        <v>151</v>
      </c>
      <c r="C34" s="88" t="s">
        <v>109</v>
      </c>
      <c r="D34" s="97">
        <v>0</v>
      </c>
      <c r="E34" s="97">
        <v>0</v>
      </c>
      <c r="F34" s="97">
        <v>0.01</v>
      </c>
      <c r="G34" s="91"/>
      <c r="H34" s="91"/>
      <c r="I34" s="91"/>
      <c r="J34" s="91"/>
      <c r="K34" s="91"/>
      <c r="L34" s="92"/>
      <c r="M34" s="50"/>
      <c r="N34" s="50"/>
      <c r="O34" s="50"/>
      <c r="P34" s="50"/>
      <c r="Q34" s="50"/>
      <c r="R34" s="50"/>
      <c r="S34" s="50"/>
      <c r="T34" s="50"/>
      <c r="U34" s="50"/>
      <c r="V34" s="50"/>
      <c r="W34" s="50"/>
      <c r="X34" s="50"/>
      <c r="Y34" s="50"/>
      <c r="Z34" s="50"/>
    </row>
    <row r="35" spans="1:26" ht="15.75" customHeight="1" x14ac:dyDescent="0.35">
      <c r="A35" s="50"/>
      <c r="B35" s="89" t="s">
        <v>152</v>
      </c>
      <c r="C35" s="88" t="s">
        <v>109</v>
      </c>
      <c r="D35" s="97">
        <v>0</v>
      </c>
      <c r="E35" s="97">
        <v>0</v>
      </c>
      <c r="F35" s="97">
        <v>0.01</v>
      </c>
      <c r="G35" s="91"/>
      <c r="H35" s="91"/>
      <c r="I35" s="91"/>
      <c r="J35" s="91"/>
      <c r="K35" s="91"/>
      <c r="L35" s="92"/>
      <c r="M35" s="50"/>
      <c r="N35" s="50"/>
      <c r="O35" s="50"/>
      <c r="P35" s="50"/>
      <c r="Q35" s="50"/>
      <c r="R35" s="50"/>
      <c r="S35" s="50"/>
      <c r="T35" s="50"/>
      <c r="U35" s="50"/>
      <c r="V35" s="50"/>
      <c r="W35" s="50"/>
      <c r="X35" s="50"/>
      <c r="Y35" s="50"/>
      <c r="Z35" s="50"/>
    </row>
    <row r="36" spans="1:26" ht="15.75" customHeight="1" x14ac:dyDescent="0.35">
      <c r="A36" s="50"/>
      <c r="B36" s="89" t="s">
        <v>153</v>
      </c>
      <c r="C36" s="88" t="s">
        <v>109</v>
      </c>
      <c r="D36" s="97">
        <v>0</v>
      </c>
      <c r="E36" s="97">
        <v>0.03</v>
      </c>
      <c r="F36" s="97">
        <v>0.03</v>
      </c>
      <c r="G36" s="91"/>
      <c r="H36" s="91"/>
      <c r="I36" s="91"/>
      <c r="J36" s="91"/>
      <c r="K36" s="91"/>
      <c r="L36" s="92"/>
      <c r="M36" s="50"/>
      <c r="N36" s="50"/>
      <c r="O36" s="50"/>
      <c r="P36" s="50"/>
      <c r="Q36" s="50"/>
      <c r="R36" s="50"/>
      <c r="S36" s="50"/>
      <c r="T36" s="50"/>
      <c r="U36" s="50"/>
      <c r="V36" s="50"/>
      <c r="W36" s="50"/>
      <c r="X36" s="50"/>
      <c r="Y36" s="50"/>
      <c r="Z36" s="50"/>
    </row>
    <row r="37" spans="1:26" ht="15.75" customHeight="1" x14ac:dyDescent="0.35">
      <c r="A37" s="50"/>
      <c r="B37" s="89" t="s">
        <v>154</v>
      </c>
      <c r="C37" s="88" t="s">
        <v>109</v>
      </c>
      <c r="D37" s="97">
        <v>0</v>
      </c>
      <c r="E37" s="97">
        <v>0</v>
      </c>
      <c r="F37" s="97">
        <v>0.01</v>
      </c>
      <c r="G37" s="91"/>
      <c r="H37" s="91"/>
      <c r="I37" s="91"/>
      <c r="J37" s="91"/>
      <c r="K37" s="91"/>
      <c r="L37" s="92"/>
      <c r="M37" s="50"/>
      <c r="N37" s="50"/>
      <c r="O37" s="50"/>
      <c r="P37" s="50"/>
      <c r="Q37" s="50"/>
      <c r="R37" s="50"/>
      <c r="S37" s="50"/>
      <c r="T37" s="50"/>
      <c r="U37" s="50"/>
      <c r="V37" s="50"/>
      <c r="W37" s="50"/>
      <c r="X37" s="50"/>
      <c r="Y37" s="50"/>
      <c r="Z37" s="50"/>
    </row>
    <row r="38" spans="1:26" ht="15.75" customHeight="1" x14ac:dyDescent="0.35">
      <c r="A38" s="50"/>
      <c r="B38" s="89" t="s">
        <v>155</v>
      </c>
      <c r="C38" s="88" t="s">
        <v>109</v>
      </c>
      <c r="D38" s="97">
        <v>0</v>
      </c>
      <c r="E38" s="97">
        <v>0</v>
      </c>
      <c r="F38" s="97">
        <v>0.01</v>
      </c>
      <c r="G38" s="91"/>
      <c r="H38" s="91"/>
      <c r="I38" s="91"/>
      <c r="J38" s="91"/>
      <c r="K38" s="91"/>
      <c r="L38" s="92"/>
      <c r="M38" s="50"/>
      <c r="N38" s="50"/>
      <c r="O38" s="50"/>
      <c r="P38" s="50"/>
      <c r="Q38" s="50"/>
      <c r="R38" s="50"/>
      <c r="S38" s="50"/>
      <c r="T38" s="50"/>
      <c r="U38" s="50"/>
      <c r="V38" s="50"/>
      <c r="W38" s="50"/>
      <c r="X38" s="50"/>
      <c r="Y38" s="50"/>
      <c r="Z38" s="50"/>
    </row>
    <row r="39" spans="1:26" ht="15.75" customHeight="1" x14ac:dyDescent="0.35">
      <c r="A39" s="50"/>
      <c r="B39" s="89" t="s">
        <v>156</v>
      </c>
      <c r="C39" s="88" t="s">
        <v>109</v>
      </c>
      <c r="D39" s="97">
        <v>0</v>
      </c>
      <c r="E39" s="97">
        <v>0</v>
      </c>
      <c r="F39" s="97">
        <v>0.01</v>
      </c>
      <c r="G39" s="91"/>
      <c r="H39" s="91"/>
      <c r="I39" s="91"/>
      <c r="J39" s="91"/>
      <c r="K39" s="91"/>
      <c r="L39" s="92"/>
      <c r="M39" s="50"/>
      <c r="N39" s="50"/>
      <c r="O39" s="50"/>
      <c r="P39" s="50"/>
      <c r="Q39" s="50"/>
      <c r="R39" s="50"/>
      <c r="S39" s="50"/>
      <c r="T39" s="50"/>
      <c r="U39" s="50"/>
      <c r="V39" s="50"/>
      <c r="W39" s="50"/>
      <c r="X39" s="50"/>
      <c r="Y39" s="50"/>
      <c r="Z39" s="50"/>
    </row>
    <row r="40" spans="1:26" ht="15.75" customHeight="1" x14ac:dyDescent="0.35">
      <c r="A40" s="50"/>
      <c r="B40" s="154" t="s">
        <v>157</v>
      </c>
      <c r="C40" s="88" t="s">
        <v>109</v>
      </c>
      <c r="D40" s="97">
        <v>0</v>
      </c>
      <c r="E40" s="97">
        <v>0</v>
      </c>
      <c r="F40" s="97">
        <v>0</v>
      </c>
      <c r="G40" s="91"/>
      <c r="H40" s="91"/>
      <c r="I40" s="91"/>
      <c r="J40" s="91"/>
      <c r="K40" s="91"/>
      <c r="L40" s="92"/>
      <c r="M40" s="50"/>
      <c r="N40" s="50"/>
      <c r="O40" s="50"/>
      <c r="P40" s="50"/>
      <c r="Q40" s="50"/>
      <c r="R40" s="50"/>
      <c r="S40" s="50"/>
      <c r="T40" s="50"/>
      <c r="U40" s="50"/>
      <c r="V40" s="50"/>
      <c r="W40" s="50"/>
      <c r="X40" s="50"/>
      <c r="Y40" s="50"/>
      <c r="Z40" s="50"/>
    </row>
    <row r="41" spans="1:26" ht="15.75" customHeight="1" x14ac:dyDescent="0.35">
      <c r="A41" s="50"/>
      <c r="B41" s="89" t="s">
        <v>158</v>
      </c>
      <c r="C41" s="88" t="s">
        <v>109</v>
      </c>
      <c r="D41" s="97">
        <v>0</v>
      </c>
      <c r="E41" s="97">
        <v>0</v>
      </c>
      <c r="F41" s="97">
        <v>0.01</v>
      </c>
      <c r="G41" s="91"/>
      <c r="H41" s="91"/>
      <c r="I41" s="91"/>
      <c r="J41" s="91"/>
      <c r="K41" s="91"/>
      <c r="L41" s="92"/>
      <c r="M41" s="50"/>
      <c r="N41" s="50"/>
      <c r="O41" s="50"/>
      <c r="P41" s="50"/>
      <c r="Q41" s="50"/>
      <c r="R41" s="50"/>
      <c r="S41" s="50"/>
      <c r="T41" s="50"/>
      <c r="U41" s="50"/>
      <c r="V41" s="50"/>
      <c r="W41" s="50"/>
      <c r="X41" s="50"/>
      <c r="Y41" s="50"/>
      <c r="Z41" s="50"/>
    </row>
    <row r="42" spans="1:26" ht="33.75" customHeight="1" x14ac:dyDescent="0.35">
      <c r="A42" s="50"/>
      <c r="B42" s="87" t="s">
        <v>239</v>
      </c>
      <c r="C42" s="88"/>
      <c r="D42" s="43"/>
      <c r="E42" s="205"/>
      <c r="F42" s="205"/>
      <c r="G42" s="563" t="s">
        <v>230</v>
      </c>
      <c r="H42" s="546"/>
      <c r="I42" s="546"/>
      <c r="J42" s="546"/>
      <c r="K42" s="546"/>
      <c r="L42" s="558"/>
      <c r="M42" s="50"/>
      <c r="N42" s="50"/>
      <c r="O42" s="50"/>
      <c r="P42" s="50"/>
      <c r="Q42" s="50"/>
      <c r="R42" s="50"/>
      <c r="S42" s="50"/>
      <c r="T42" s="50"/>
      <c r="U42" s="50"/>
      <c r="V42" s="50"/>
      <c r="W42" s="50"/>
      <c r="X42" s="50"/>
      <c r="Y42" s="50"/>
      <c r="Z42" s="50"/>
    </row>
    <row r="43" spans="1:26" ht="15.75" customHeight="1" x14ac:dyDescent="0.35">
      <c r="A43" s="50"/>
      <c r="B43" s="89" t="s">
        <v>145</v>
      </c>
      <c r="C43" s="88"/>
      <c r="D43" s="213">
        <v>0.55000000000000004</v>
      </c>
      <c r="E43" s="207"/>
      <c r="F43" s="207"/>
      <c r="G43" s="91"/>
      <c r="H43" s="91"/>
      <c r="I43" s="91"/>
      <c r="J43" s="91"/>
      <c r="K43" s="91"/>
      <c r="L43" s="92"/>
      <c r="M43" s="50"/>
      <c r="N43" s="50"/>
      <c r="O43" s="50"/>
      <c r="P43" s="50"/>
      <c r="Q43" s="50"/>
      <c r="R43" s="50"/>
      <c r="S43" s="50"/>
      <c r="T43" s="50"/>
      <c r="U43" s="50"/>
      <c r="V43" s="50"/>
      <c r="W43" s="50"/>
      <c r="X43" s="50"/>
      <c r="Y43" s="50"/>
      <c r="Z43" s="50"/>
    </row>
    <row r="44" spans="1:26" ht="15.75" customHeight="1" x14ac:dyDescent="0.35">
      <c r="A44" s="50"/>
      <c r="B44" s="89" t="s">
        <v>146</v>
      </c>
      <c r="C44" s="88"/>
      <c r="D44" s="213">
        <v>0.52</v>
      </c>
      <c r="E44" s="207"/>
      <c r="F44" s="207"/>
      <c r="G44" s="214"/>
      <c r="H44" s="91"/>
      <c r="I44" s="91"/>
      <c r="J44" s="91"/>
      <c r="K44" s="91"/>
      <c r="L44" s="92"/>
      <c r="M44" s="50"/>
      <c r="N44" s="50"/>
      <c r="O44" s="50"/>
      <c r="P44" s="50"/>
      <c r="Q44" s="50"/>
      <c r="R44" s="50"/>
      <c r="S44" s="50"/>
      <c r="T44" s="50"/>
      <c r="U44" s="50"/>
      <c r="V44" s="50"/>
      <c r="W44" s="50"/>
      <c r="X44" s="50"/>
      <c r="Y44" s="50"/>
      <c r="Z44" s="50"/>
    </row>
    <row r="45" spans="1:26" ht="15.75" customHeight="1" x14ac:dyDescent="0.35">
      <c r="A45" s="50"/>
      <c r="B45" s="89" t="s">
        <v>147</v>
      </c>
      <c r="C45" s="88"/>
      <c r="D45" s="206">
        <v>0.27</v>
      </c>
      <c r="E45" s="207"/>
      <c r="F45" s="207"/>
      <c r="G45" s="214"/>
      <c r="H45" s="91"/>
      <c r="I45" s="91"/>
      <c r="J45" s="91"/>
      <c r="K45" s="91"/>
      <c r="L45" s="92"/>
      <c r="M45" s="50"/>
      <c r="N45" s="50"/>
      <c r="O45" s="50"/>
      <c r="P45" s="50"/>
      <c r="Q45" s="50"/>
      <c r="R45" s="50"/>
      <c r="S45" s="50"/>
      <c r="T45" s="50"/>
      <c r="U45" s="50"/>
      <c r="V45" s="50"/>
      <c r="W45" s="50"/>
      <c r="X45" s="50"/>
      <c r="Y45" s="50"/>
      <c r="Z45" s="50"/>
    </row>
    <row r="46" spans="1:26" ht="15.75" customHeight="1" x14ac:dyDescent="0.35">
      <c r="A46" s="50"/>
      <c r="B46" s="89" t="s">
        <v>148</v>
      </c>
      <c r="C46" s="88"/>
      <c r="D46" s="213">
        <v>0.22</v>
      </c>
      <c r="E46" s="207"/>
      <c r="F46" s="207"/>
      <c r="G46" s="91" t="s">
        <v>240</v>
      </c>
      <c r="H46" s="91"/>
      <c r="I46" s="91"/>
      <c r="J46" s="91"/>
      <c r="K46" s="91"/>
      <c r="L46" s="92"/>
      <c r="M46" s="50"/>
      <c r="N46" s="50"/>
      <c r="O46" s="50"/>
      <c r="P46" s="50"/>
      <c r="Q46" s="50"/>
      <c r="R46" s="50"/>
      <c r="S46" s="50"/>
      <c r="T46" s="50"/>
      <c r="U46" s="50"/>
      <c r="V46" s="50"/>
      <c r="W46" s="50"/>
      <c r="X46" s="50"/>
      <c r="Y46" s="50"/>
      <c r="Z46" s="50"/>
    </row>
    <row r="47" spans="1:26" ht="15.75" customHeight="1" x14ac:dyDescent="0.35">
      <c r="A47" s="50"/>
      <c r="B47" s="89" t="s">
        <v>149</v>
      </c>
      <c r="C47" s="88"/>
      <c r="D47" s="213">
        <v>0.39</v>
      </c>
      <c r="E47" s="207"/>
      <c r="F47" s="207"/>
      <c r="G47" s="91"/>
      <c r="H47" s="91"/>
      <c r="I47" s="91"/>
      <c r="J47" s="91"/>
      <c r="K47" s="91"/>
      <c r="L47" s="92"/>
      <c r="M47" s="50"/>
      <c r="N47" s="50"/>
      <c r="O47" s="50"/>
      <c r="P47" s="50"/>
      <c r="Q47" s="50"/>
      <c r="R47" s="50"/>
      <c r="S47" s="50"/>
      <c r="T47" s="50"/>
      <c r="U47" s="50"/>
      <c r="V47" s="50"/>
      <c r="W47" s="50"/>
      <c r="X47" s="50"/>
      <c r="Y47" s="50"/>
      <c r="Z47" s="50"/>
    </row>
    <row r="48" spans="1:26" ht="15.75" customHeight="1" x14ac:dyDescent="0.35">
      <c r="A48" s="50"/>
      <c r="B48" s="89" t="s">
        <v>150</v>
      </c>
      <c r="C48" s="88"/>
      <c r="D48" s="213">
        <v>0.54</v>
      </c>
      <c r="E48" s="207"/>
      <c r="F48" s="207"/>
      <c r="G48" s="91"/>
      <c r="H48" s="91"/>
      <c r="I48" s="91"/>
      <c r="J48" s="91"/>
      <c r="K48" s="91"/>
      <c r="L48" s="92"/>
      <c r="M48" s="50"/>
      <c r="N48" s="50"/>
      <c r="O48" s="50"/>
      <c r="P48" s="50"/>
      <c r="Q48" s="50"/>
      <c r="R48" s="50"/>
      <c r="S48" s="50"/>
      <c r="T48" s="50"/>
      <c r="U48" s="50"/>
      <c r="V48" s="50"/>
      <c r="W48" s="50"/>
      <c r="X48" s="50"/>
      <c r="Y48" s="50"/>
      <c r="Z48" s="50"/>
    </row>
    <row r="49" spans="1:26" ht="15.75" customHeight="1" x14ac:dyDescent="0.35">
      <c r="A49" s="50"/>
      <c r="B49" s="89" t="s">
        <v>151</v>
      </c>
      <c r="C49" s="88"/>
      <c r="D49" s="213">
        <v>0.57999999999999996</v>
      </c>
      <c r="E49" s="207"/>
      <c r="F49" s="207"/>
      <c r="G49" s="91"/>
      <c r="H49" s="91"/>
      <c r="I49" s="91"/>
      <c r="J49" s="91"/>
      <c r="K49" s="91"/>
      <c r="L49" s="92"/>
      <c r="M49" s="50"/>
      <c r="N49" s="50"/>
      <c r="O49" s="50"/>
      <c r="P49" s="50"/>
      <c r="Q49" s="50"/>
      <c r="R49" s="50"/>
      <c r="S49" s="50"/>
      <c r="T49" s="50"/>
      <c r="U49" s="50"/>
      <c r="V49" s="50"/>
      <c r="W49" s="50"/>
      <c r="X49" s="50"/>
      <c r="Y49" s="50"/>
      <c r="Z49" s="50"/>
    </row>
    <row r="50" spans="1:26" ht="15.75" customHeight="1" x14ac:dyDescent="0.35">
      <c r="A50" s="50"/>
      <c r="B50" s="89" t="s">
        <v>152</v>
      </c>
      <c r="C50" s="88"/>
      <c r="D50" s="213">
        <v>0.22</v>
      </c>
      <c r="E50" s="207"/>
      <c r="F50" s="207"/>
      <c r="G50" s="91" t="s">
        <v>240</v>
      </c>
      <c r="H50" s="91"/>
      <c r="I50" s="91"/>
      <c r="J50" s="91"/>
      <c r="K50" s="91"/>
      <c r="L50" s="92"/>
      <c r="M50" s="50"/>
      <c r="N50" s="50"/>
      <c r="O50" s="50"/>
      <c r="P50" s="50"/>
      <c r="Q50" s="50"/>
      <c r="R50" s="50"/>
      <c r="S50" s="50"/>
      <c r="T50" s="50"/>
      <c r="U50" s="50"/>
      <c r="V50" s="50"/>
      <c r="W50" s="50"/>
      <c r="X50" s="50"/>
      <c r="Y50" s="50"/>
      <c r="Z50" s="50"/>
    </row>
    <row r="51" spans="1:26" ht="15.75" customHeight="1" x14ac:dyDescent="0.35">
      <c r="A51" s="50"/>
      <c r="B51" s="89" t="s">
        <v>153</v>
      </c>
      <c r="C51" s="88"/>
      <c r="D51" s="213">
        <v>0.15</v>
      </c>
      <c r="E51" s="207"/>
      <c r="F51" s="207"/>
      <c r="G51" s="214"/>
      <c r="H51" s="91"/>
      <c r="I51" s="91"/>
      <c r="J51" s="91"/>
      <c r="K51" s="91"/>
      <c r="L51" s="92"/>
      <c r="M51" s="50"/>
      <c r="N51" s="50"/>
      <c r="O51" s="50"/>
      <c r="P51" s="50"/>
      <c r="Q51" s="50"/>
      <c r="R51" s="50"/>
      <c r="S51" s="50"/>
      <c r="T51" s="50"/>
      <c r="U51" s="50"/>
      <c r="V51" s="50"/>
      <c r="W51" s="50"/>
      <c r="X51" s="50"/>
      <c r="Y51" s="50"/>
      <c r="Z51" s="50"/>
    </row>
    <row r="52" spans="1:26" ht="15.75" customHeight="1" x14ac:dyDescent="0.35">
      <c r="A52" s="50"/>
      <c r="B52" s="89" t="s">
        <v>154</v>
      </c>
      <c r="C52" s="88"/>
      <c r="D52" s="213">
        <v>0.22</v>
      </c>
      <c r="E52" s="207"/>
      <c r="F52" s="207"/>
      <c r="G52" s="91" t="s">
        <v>240</v>
      </c>
      <c r="H52" s="91"/>
      <c r="I52" s="91"/>
      <c r="J52" s="91"/>
      <c r="K52" s="91"/>
      <c r="L52" s="92"/>
      <c r="M52" s="50"/>
      <c r="N52" s="50"/>
      <c r="O52" s="50"/>
      <c r="P52" s="50"/>
      <c r="Q52" s="50"/>
      <c r="R52" s="50"/>
      <c r="S52" s="50"/>
      <c r="T52" s="50"/>
      <c r="U52" s="50"/>
      <c r="V52" s="50"/>
      <c r="W52" s="50"/>
      <c r="X52" s="50"/>
      <c r="Y52" s="50"/>
      <c r="Z52" s="50"/>
    </row>
    <row r="53" spans="1:26" ht="15.75" customHeight="1" x14ac:dyDescent="0.35">
      <c r="A53" s="50"/>
      <c r="B53" s="89" t="s">
        <v>155</v>
      </c>
      <c r="C53" s="88"/>
      <c r="D53" s="213">
        <v>0.22</v>
      </c>
      <c r="E53" s="207"/>
      <c r="F53" s="207"/>
      <c r="G53" s="91" t="s">
        <v>240</v>
      </c>
      <c r="H53" s="91"/>
      <c r="I53" s="91"/>
      <c r="J53" s="91"/>
      <c r="K53" s="91"/>
      <c r="L53" s="92"/>
      <c r="M53" s="50"/>
      <c r="N53" s="50"/>
      <c r="O53" s="50"/>
      <c r="P53" s="50"/>
      <c r="Q53" s="50"/>
      <c r="R53" s="50"/>
      <c r="S53" s="50"/>
      <c r="T53" s="50"/>
      <c r="U53" s="50"/>
      <c r="V53" s="50"/>
      <c r="W53" s="50"/>
      <c r="X53" s="50"/>
      <c r="Y53" s="50"/>
      <c r="Z53" s="50"/>
    </row>
    <row r="54" spans="1:26" ht="15.75" customHeight="1" x14ac:dyDescent="0.35">
      <c r="A54" s="50"/>
      <c r="B54" s="89" t="s">
        <v>156</v>
      </c>
      <c r="C54" s="88"/>
      <c r="D54" s="213">
        <v>0.22</v>
      </c>
      <c r="E54" s="207"/>
      <c r="F54" s="207"/>
      <c r="G54" s="91" t="s">
        <v>240</v>
      </c>
      <c r="H54" s="91"/>
      <c r="I54" s="91"/>
      <c r="J54" s="91"/>
      <c r="K54" s="91"/>
      <c r="L54" s="92"/>
      <c r="M54" s="50"/>
      <c r="N54" s="50"/>
      <c r="O54" s="50"/>
      <c r="P54" s="50"/>
      <c r="Q54" s="50"/>
      <c r="R54" s="50"/>
      <c r="S54" s="50"/>
      <c r="T54" s="50"/>
      <c r="U54" s="50"/>
      <c r="V54" s="50"/>
      <c r="W54" s="50"/>
      <c r="X54" s="50"/>
      <c r="Y54" s="50"/>
      <c r="Z54" s="50"/>
    </row>
    <row r="55" spans="1:26" ht="15.75" customHeight="1" x14ac:dyDescent="0.35">
      <c r="A55" s="50"/>
      <c r="B55" s="154" t="s">
        <v>157</v>
      </c>
      <c r="C55" s="88"/>
      <c r="D55" s="213">
        <v>0.22</v>
      </c>
      <c r="E55" s="207"/>
      <c r="F55" s="207"/>
      <c r="G55" s="91" t="s">
        <v>240</v>
      </c>
      <c r="H55" s="91"/>
      <c r="I55" s="91"/>
      <c r="J55" s="91"/>
      <c r="K55" s="91"/>
      <c r="L55" s="92"/>
      <c r="M55" s="50"/>
      <c r="N55" s="50"/>
      <c r="O55" s="50"/>
      <c r="P55" s="50"/>
      <c r="Q55" s="50"/>
      <c r="R55" s="50"/>
      <c r="S55" s="50"/>
      <c r="T55" s="50"/>
      <c r="U55" s="50"/>
      <c r="V55" s="50"/>
      <c r="W55" s="50"/>
      <c r="X55" s="50"/>
      <c r="Y55" s="50"/>
      <c r="Z55" s="50"/>
    </row>
    <row r="56" spans="1:26" ht="15.75" customHeight="1" x14ac:dyDescent="0.35">
      <c r="A56" s="50"/>
      <c r="B56" s="89" t="s">
        <v>158</v>
      </c>
      <c r="C56" s="88"/>
      <c r="D56" s="213">
        <v>0.22</v>
      </c>
      <c r="E56" s="207"/>
      <c r="F56" s="207"/>
      <c r="G56" s="91" t="s">
        <v>240</v>
      </c>
      <c r="H56" s="91"/>
      <c r="I56" s="91"/>
      <c r="J56" s="91"/>
      <c r="K56" s="91"/>
      <c r="L56" s="92"/>
      <c r="M56" s="50"/>
      <c r="N56" s="50"/>
      <c r="O56" s="50"/>
      <c r="P56" s="50"/>
      <c r="Q56" s="50"/>
      <c r="R56" s="50"/>
      <c r="S56" s="50"/>
      <c r="T56" s="50"/>
      <c r="U56" s="50"/>
      <c r="V56" s="50"/>
      <c r="W56" s="50"/>
      <c r="X56" s="50"/>
      <c r="Y56" s="50"/>
      <c r="Z56" s="50"/>
    </row>
    <row r="57" spans="1:26" ht="15.75" customHeight="1" x14ac:dyDescent="0.35">
      <c r="A57" s="50"/>
      <c r="B57" s="96"/>
      <c r="C57" s="88"/>
      <c r="D57" s="215"/>
      <c r="E57" s="91"/>
      <c r="F57" s="91"/>
      <c r="G57" s="91"/>
      <c r="H57" s="91"/>
      <c r="I57" s="91"/>
      <c r="J57" s="91"/>
      <c r="K57" s="91"/>
      <c r="L57" s="92"/>
      <c r="M57" s="50"/>
      <c r="N57" s="50"/>
      <c r="O57" s="50"/>
      <c r="P57" s="50"/>
      <c r="Q57" s="50"/>
      <c r="R57" s="50"/>
      <c r="S57" s="50"/>
      <c r="T57" s="50"/>
      <c r="U57" s="50"/>
      <c r="V57" s="50"/>
      <c r="W57" s="50"/>
      <c r="X57" s="50"/>
      <c r="Y57" s="50"/>
      <c r="Z57" s="50"/>
    </row>
    <row r="58" spans="1:26" ht="15.75" customHeight="1" x14ac:dyDescent="0.35">
      <c r="A58" s="50"/>
      <c r="B58" s="96" t="s">
        <v>232</v>
      </c>
      <c r="C58" s="88" t="s">
        <v>109</v>
      </c>
      <c r="D58" s="208">
        <v>0.01</v>
      </c>
      <c r="E58" s="91"/>
      <c r="F58" s="91"/>
      <c r="G58" s="91" t="s">
        <v>110</v>
      </c>
      <c r="H58" s="91"/>
      <c r="I58" s="91"/>
      <c r="J58" s="91"/>
      <c r="K58" s="91"/>
      <c r="L58" s="92"/>
      <c r="M58" s="50"/>
      <c r="N58" s="50"/>
      <c r="O58" s="50"/>
      <c r="P58" s="50"/>
      <c r="Q58" s="50"/>
      <c r="R58" s="50"/>
      <c r="S58" s="50"/>
      <c r="T58" s="50"/>
      <c r="U58" s="50"/>
      <c r="V58" s="50"/>
      <c r="W58" s="50"/>
      <c r="X58" s="50"/>
      <c r="Y58" s="50"/>
      <c r="Z58" s="50"/>
    </row>
    <row r="59" spans="1:26" ht="15.75" customHeight="1" x14ac:dyDescent="0.35">
      <c r="A59" s="50"/>
      <c r="B59" s="96" t="s">
        <v>113</v>
      </c>
      <c r="C59" s="88" t="s">
        <v>109</v>
      </c>
      <c r="D59" s="98" t="s">
        <v>114</v>
      </c>
      <c r="E59" s="91"/>
      <c r="F59" s="91"/>
      <c r="G59" s="91" t="s">
        <v>233</v>
      </c>
      <c r="H59" s="91"/>
      <c r="I59" s="91"/>
      <c r="J59" s="91"/>
      <c r="K59" s="91"/>
      <c r="L59" s="164"/>
      <c r="M59" s="50"/>
      <c r="N59" s="50"/>
      <c r="O59" s="50"/>
      <c r="P59" s="50"/>
      <c r="Q59" s="50"/>
      <c r="R59" s="50"/>
      <c r="S59" s="50"/>
      <c r="T59" s="50"/>
      <c r="U59" s="50"/>
      <c r="V59" s="50"/>
      <c r="W59" s="50"/>
      <c r="X59" s="50"/>
      <c r="Y59" s="50"/>
      <c r="Z59" s="50"/>
    </row>
    <row r="60" spans="1:26" ht="15.75" customHeight="1" x14ac:dyDescent="0.35">
      <c r="A60" s="50"/>
      <c r="B60" s="96" t="s">
        <v>116</v>
      </c>
      <c r="C60" s="88" t="s">
        <v>109</v>
      </c>
      <c r="D60" s="156">
        <f>VLOOKUP(D59,B61:D63,3,FALSE)</f>
        <v>0.05</v>
      </c>
      <c r="E60" s="91"/>
      <c r="F60" s="91"/>
      <c r="G60" s="91" t="s">
        <v>117</v>
      </c>
      <c r="H60" s="91"/>
      <c r="I60" s="91"/>
      <c r="J60" s="91"/>
      <c r="K60" s="91"/>
      <c r="L60" s="92"/>
      <c r="M60" s="50"/>
      <c r="N60" s="50"/>
      <c r="O60" s="50"/>
      <c r="P60" s="50"/>
      <c r="Q60" s="50"/>
      <c r="R60" s="50"/>
      <c r="S60" s="50"/>
      <c r="T60" s="50"/>
      <c r="U60" s="50"/>
      <c r="V60" s="50"/>
      <c r="W60" s="50"/>
      <c r="X60" s="50"/>
      <c r="Y60" s="50"/>
      <c r="Z60" s="50"/>
    </row>
    <row r="61" spans="1:26" ht="15.75" customHeight="1" x14ac:dyDescent="0.35">
      <c r="A61" s="50"/>
      <c r="B61" s="101" t="s">
        <v>114</v>
      </c>
      <c r="C61" s="102" t="s">
        <v>109</v>
      </c>
      <c r="D61" s="103">
        <v>0.05</v>
      </c>
      <c r="E61" s="91"/>
      <c r="F61" s="91"/>
      <c r="G61" s="91" t="s">
        <v>118</v>
      </c>
      <c r="H61" s="91"/>
      <c r="I61" s="91"/>
      <c r="J61" s="91"/>
      <c r="K61" s="91"/>
      <c r="L61" s="92"/>
      <c r="M61" s="50"/>
      <c r="N61" s="50"/>
      <c r="O61" s="50"/>
      <c r="P61" s="50"/>
      <c r="Q61" s="50"/>
      <c r="R61" s="50"/>
      <c r="S61" s="50"/>
      <c r="T61" s="50"/>
      <c r="U61" s="50"/>
      <c r="V61" s="50"/>
      <c r="W61" s="50"/>
      <c r="X61" s="50"/>
      <c r="Y61" s="50"/>
      <c r="Z61" s="50"/>
    </row>
    <row r="62" spans="1:26" ht="15.75" customHeight="1" x14ac:dyDescent="0.35">
      <c r="A62" s="50"/>
      <c r="B62" s="101" t="s">
        <v>119</v>
      </c>
      <c r="C62" s="102" t="s">
        <v>109</v>
      </c>
      <c r="D62" s="103">
        <v>0.03</v>
      </c>
      <c r="E62" s="91"/>
      <c r="F62" s="91"/>
      <c r="G62" s="91" t="s">
        <v>120</v>
      </c>
      <c r="H62" s="91"/>
      <c r="I62" s="91"/>
      <c r="J62" s="91"/>
      <c r="K62" s="91"/>
      <c r="L62" s="92"/>
      <c r="M62" s="50"/>
      <c r="N62" s="50"/>
      <c r="O62" s="50"/>
      <c r="P62" s="50"/>
      <c r="Q62" s="50"/>
      <c r="R62" s="50"/>
      <c r="S62" s="50"/>
      <c r="T62" s="50"/>
      <c r="U62" s="50"/>
      <c r="V62" s="50"/>
      <c r="W62" s="50"/>
      <c r="X62" s="50"/>
      <c r="Y62" s="50"/>
      <c r="Z62" s="50"/>
    </row>
    <row r="63" spans="1:26" ht="15.75" customHeight="1" x14ac:dyDescent="0.35">
      <c r="A63" s="50"/>
      <c r="B63" s="101" t="s">
        <v>121</v>
      </c>
      <c r="C63" s="102" t="s">
        <v>109</v>
      </c>
      <c r="D63" s="103">
        <v>0.01</v>
      </c>
      <c r="E63" s="91"/>
      <c r="F63" s="91"/>
      <c r="G63" s="91" t="s">
        <v>122</v>
      </c>
      <c r="H63" s="91"/>
      <c r="I63" s="91"/>
      <c r="J63" s="91"/>
      <c r="K63" s="91"/>
      <c r="L63" s="92"/>
      <c r="M63" s="50"/>
      <c r="N63" s="50"/>
      <c r="O63" s="50"/>
      <c r="P63" s="50"/>
      <c r="Q63" s="50"/>
      <c r="R63" s="50"/>
      <c r="S63" s="50"/>
      <c r="T63" s="50"/>
      <c r="U63" s="50"/>
      <c r="V63" s="50"/>
      <c r="W63" s="50"/>
      <c r="X63" s="50"/>
      <c r="Y63" s="50"/>
      <c r="Z63" s="50"/>
    </row>
    <row r="64" spans="1:26" ht="15.75" customHeight="1" x14ac:dyDescent="0.35">
      <c r="A64" s="50"/>
      <c r="B64" s="96" t="s">
        <v>234</v>
      </c>
      <c r="C64" s="88"/>
      <c r="D64" s="208">
        <v>0.01</v>
      </c>
      <c r="E64" s="91"/>
      <c r="F64" s="91"/>
      <c r="G64" s="91" t="s">
        <v>126</v>
      </c>
      <c r="H64" s="91"/>
      <c r="I64" s="91"/>
      <c r="J64" s="91"/>
      <c r="K64" s="91"/>
      <c r="L64" s="92"/>
      <c r="M64" s="50"/>
      <c r="N64" s="50"/>
      <c r="O64" s="50"/>
      <c r="P64" s="50"/>
      <c r="Q64" s="50"/>
      <c r="R64" s="50"/>
      <c r="S64" s="50"/>
      <c r="T64" s="50"/>
      <c r="U64" s="50"/>
      <c r="V64" s="50"/>
      <c r="W64" s="50"/>
      <c r="X64" s="50"/>
      <c r="Y64" s="50"/>
      <c r="Z64" s="50"/>
    </row>
    <row r="65" spans="1:26" ht="15.75" customHeight="1" x14ac:dyDescent="0.35">
      <c r="A65" s="50"/>
      <c r="B65" s="106" t="s">
        <v>127</v>
      </c>
      <c r="C65" s="107"/>
      <c r="D65" s="209">
        <f>'1.Red. Purch. Cost Patient Care'!D68</f>
        <v>0.05</v>
      </c>
      <c r="E65" s="109"/>
      <c r="F65" s="109"/>
      <c r="G65" s="109" t="s">
        <v>241</v>
      </c>
      <c r="H65" s="109"/>
      <c r="I65" s="109"/>
      <c r="J65" s="109"/>
      <c r="K65" s="109"/>
      <c r="L65" s="158"/>
      <c r="M65" s="50"/>
      <c r="N65" s="50"/>
      <c r="O65" s="50"/>
      <c r="P65" s="50"/>
      <c r="Q65" s="50"/>
      <c r="R65" s="50"/>
      <c r="S65" s="50"/>
      <c r="T65" s="50"/>
      <c r="U65" s="50"/>
      <c r="V65" s="50"/>
      <c r="W65" s="50"/>
      <c r="X65" s="50"/>
      <c r="Y65" s="50"/>
      <c r="Z65" s="50"/>
    </row>
    <row r="66" spans="1:26" ht="15.75" customHeight="1" x14ac:dyDescent="0.35">
      <c r="A66" s="50"/>
      <c r="B66" s="190"/>
      <c r="C66" s="47"/>
      <c r="D66" s="179"/>
      <c r="E66" s="179"/>
      <c r="F66" s="179"/>
      <c r="G66" s="50"/>
      <c r="H66" s="50"/>
      <c r="I66" s="50"/>
      <c r="J66" s="50"/>
      <c r="K66" s="50"/>
      <c r="L66" s="50"/>
      <c r="M66" s="50"/>
      <c r="N66" s="50"/>
      <c r="O66" s="50"/>
      <c r="P66" s="50"/>
      <c r="Q66" s="50"/>
      <c r="R66" s="50"/>
      <c r="S66" s="50"/>
      <c r="T66" s="50"/>
      <c r="U66" s="50"/>
      <c r="V66" s="50"/>
      <c r="W66" s="50"/>
      <c r="X66" s="50"/>
      <c r="Y66" s="50"/>
      <c r="Z66" s="50"/>
    </row>
    <row r="67" spans="1:26" ht="15.75" customHeight="1" x14ac:dyDescent="0.3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x14ac:dyDescent="0.35">
      <c r="A68" s="50"/>
      <c r="B68" s="35" t="s">
        <v>55</v>
      </c>
      <c r="C68" s="38"/>
      <c r="D68" s="565" t="s">
        <v>129</v>
      </c>
      <c r="E68" s="552"/>
      <c r="F68" s="553"/>
      <c r="G68" s="112" t="s">
        <v>130</v>
      </c>
      <c r="H68" s="38" t="e">
        <f t="shared" ref="H68:P68" si="0">+G68+1</f>
        <v>#VALUE!</v>
      </c>
      <c r="I68" s="38" t="e">
        <f t="shared" si="0"/>
        <v>#VALUE!</v>
      </c>
      <c r="J68" s="38" t="e">
        <f t="shared" si="0"/>
        <v>#VALUE!</v>
      </c>
      <c r="K68" s="38" t="e">
        <f t="shared" si="0"/>
        <v>#VALUE!</v>
      </c>
      <c r="L68" s="38" t="e">
        <f t="shared" si="0"/>
        <v>#VALUE!</v>
      </c>
      <c r="M68" s="38" t="e">
        <f t="shared" si="0"/>
        <v>#VALUE!</v>
      </c>
      <c r="N68" s="38" t="e">
        <f t="shared" si="0"/>
        <v>#VALUE!</v>
      </c>
      <c r="O68" s="38" t="e">
        <f t="shared" si="0"/>
        <v>#VALUE!</v>
      </c>
      <c r="P68" s="39" t="e">
        <f t="shared" si="0"/>
        <v>#VALUE!</v>
      </c>
      <c r="Q68" s="50"/>
      <c r="R68" s="50"/>
      <c r="S68" s="50"/>
      <c r="T68" s="50"/>
      <c r="U68" s="50"/>
      <c r="V68" s="50"/>
      <c r="W68" s="50"/>
      <c r="X68" s="50"/>
      <c r="Y68" s="50"/>
      <c r="Z68" s="50"/>
    </row>
    <row r="69" spans="1:26" ht="15.75" customHeight="1" x14ac:dyDescent="0.35">
      <c r="A69" s="50"/>
      <c r="B69" s="40"/>
      <c r="C69" s="113"/>
      <c r="D69" s="159">
        <v>1</v>
      </c>
      <c r="E69" s="159">
        <f>+D69+1</f>
        <v>2</v>
      </c>
      <c r="F69" s="159">
        <f t="shared" ref="F69:P69" si="1">E69+1</f>
        <v>3</v>
      </c>
      <c r="G69" s="159">
        <f t="shared" si="1"/>
        <v>4</v>
      </c>
      <c r="H69" s="159">
        <f t="shared" si="1"/>
        <v>5</v>
      </c>
      <c r="I69" s="159">
        <f t="shared" si="1"/>
        <v>6</v>
      </c>
      <c r="J69" s="159">
        <f t="shared" si="1"/>
        <v>7</v>
      </c>
      <c r="K69" s="159">
        <f t="shared" si="1"/>
        <v>8</v>
      </c>
      <c r="L69" s="159">
        <f t="shared" si="1"/>
        <v>9</v>
      </c>
      <c r="M69" s="159">
        <f t="shared" si="1"/>
        <v>10</v>
      </c>
      <c r="N69" s="159">
        <f t="shared" si="1"/>
        <v>11</v>
      </c>
      <c r="O69" s="159">
        <f t="shared" si="1"/>
        <v>12</v>
      </c>
      <c r="P69" s="160">
        <f t="shared" si="1"/>
        <v>13</v>
      </c>
      <c r="Q69" s="50"/>
      <c r="R69" s="50"/>
      <c r="S69" s="50"/>
      <c r="T69" s="50"/>
      <c r="U69" s="50"/>
      <c r="V69" s="50"/>
      <c r="W69" s="50"/>
      <c r="X69" s="50"/>
      <c r="Y69" s="50"/>
      <c r="Z69" s="50"/>
    </row>
    <row r="70" spans="1:26" ht="15.75" customHeight="1" x14ac:dyDescent="0.35">
      <c r="A70" s="50"/>
      <c r="B70" s="46" t="s">
        <v>162</v>
      </c>
      <c r="C70" s="47"/>
      <c r="D70" s="49"/>
      <c r="E70" s="49"/>
      <c r="F70" s="49"/>
      <c r="G70" s="49"/>
      <c r="H70" s="49"/>
      <c r="I70" s="49"/>
      <c r="J70" s="49"/>
      <c r="K70" s="49"/>
      <c r="L70" s="49"/>
      <c r="M70" s="49"/>
      <c r="N70" s="50"/>
      <c r="O70" s="50"/>
      <c r="P70" s="115"/>
      <c r="Q70" s="50"/>
      <c r="R70" s="50"/>
      <c r="S70" s="50"/>
      <c r="T70" s="50"/>
      <c r="U70" s="50"/>
      <c r="V70" s="50"/>
      <c r="W70" s="50"/>
      <c r="X70" s="50"/>
      <c r="Y70" s="50"/>
      <c r="Z70" s="50"/>
    </row>
    <row r="71" spans="1:26" ht="15.75" customHeight="1" x14ac:dyDescent="0.35">
      <c r="A71" s="50"/>
      <c r="B71" s="53" t="s">
        <v>145</v>
      </c>
      <c r="C71" s="116" t="s">
        <v>94</v>
      </c>
      <c r="D71" s="49">
        <f t="shared" ref="D71:D84" si="2">D12</f>
        <v>1000</v>
      </c>
      <c r="E71" s="49">
        <f t="shared" ref="E71:P71" si="3">D71*(1+$D$58)</f>
        <v>1010</v>
      </c>
      <c r="F71" s="49">
        <f t="shared" si="3"/>
        <v>1020.1</v>
      </c>
      <c r="G71" s="49">
        <f t="shared" si="3"/>
        <v>1030.3009999999999</v>
      </c>
      <c r="H71" s="49">
        <f t="shared" si="3"/>
        <v>1040.60401</v>
      </c>
      <c r="I71" s="49">
        <f t="shared" si="3"/>
        <v>1051.0100500999999</v>
      </c>
      <c r="J71" s="49">
        <f t="shared" si="3"/>
        <v>1061.5201506009998</v>
      </c>
      <c r="K71" s="49">
        <f t="shared" si="3"/>
        <v>1072.1353521070098</v>
      </c>
      <c r="L71" s="49">
        <f t="shared" si="3"/>
        <v>1082.8567056280799</v>
      </c>
      <c r="M71" s="49">
        <f t="shared" si="3"/>
        <v>1093.6852726843608</v>
      </c>
      <c r="N71" s="49">
        <f t="shared" si="3"/>
        <v>1104.6221254112045</v>
      </c>
      <c r="O71" s="49">
        <f t="shared" si="3"/>
        <v>1115.6683466653164</v>
      </c>
      <c r="P71" s="117">
        <f t="shared" si="3"/>
        <v>1126.8250301319697</v>
      </c>
      <c r="Q71" s="50"/>
      <c r="R71" s="50"/>
      <c r="S71" s="50"/>
      <c r="T71" s="50"/>
      <c r="U71" s="50"/>
      <c r="V71" s="50"/>
      <c r="W71" s="50"/>
      <c r="X71" s="50"/>
      <c r="Y71" s="50"/>
      <c r="Z71" s="50"/>
    </row>
    <row r="72" spans="1:26" ht="15.75" customHeight="1" x14ac:dyDescent="0.35">
      <c r="A72" s="50"/>
      <c r="B72" s="53" t="s">
        <v>146</v>
      </c>
      <c r="C72" s="116" t="s">
        <v>94</v>
      </c>
      <c r="D72" s="49">
        <f t="shared" si="2"/>
        <v>1000</v>
      </c>
      <c r="E72" s="49">
        <f t="shared" ref="E72:P72" si="4">D72*(1+$D$58)</f>
        <v>1010</v>
      </c>
      <c r="F72" s="49">
        <f t="shared" si="4"/>
        <v>1020.1</v>
      </c>
      <c r="G72" s="49">
        <f t="shared" si="4"/>
        <v>1030.3009999999999</v>
      </c>
      <c r="H72" s="49">
        <f t="shared" si="4"/>
        <v>1040.60401</v>
      </c>
      <c r="I72" s="49">
        <f t="shared" si="4"/>
        <v>1051.0100500999999</v>
      </c>
      <c r="J72" s="49">
        <f t="shared" si="4"/>
        <v>1061.5201506009998</v>
      </c>
      <c r="K72" s="49">
        <f t="shared" si="4"/>
        <v>1072.1353521070098</v>
      </c>
      <c r="L72" s="49">
        <f t="shared" si="4"/>
        <v>1082.8567056280799</v>
      </c>
      <c r="M72" s="49">
        <f t="shared" si="4"/>
        <v>1093.6852726843608</v>
      </c>
      <c r="N72" s="49">
        <f t="shared" si="4"/>
        <v>1104.6221254112045</v>
      </c>
      <c r="O72" s="49">
        <f t="shared" si="4"/>
        <v>1115.6683466653164</v>
      </c>
      <c r="P72" s="117">
        <f t="shared" si="4"/>
        <v>1126.8250301319697</v>
      </c>
      <c r="Q72" s="50"/>
      <c r="R72" s="50"/>
      <c r="S72" s="50"/>
      <c r="T72" s="50"/>
      <c r="U72" s="50"/>
      <c r="V72" s="50"/>
      <c r="W72" s="50"/>
      <c r="X72" s="50"/>
      <c r="Y72" s="50"/>
      <c r="Z72" s="50"/>
    </row>
    <row r="73" spans="1:26" ht="15.75" customHeight="1" x14ac:dyDescent="0.35">
      <c r="A73" s="50"/>
      <c r="B73" s="53" t="s">
        <v>147</v>
      </c>
      <c r="C73" s="116" t="s">
        <v>94</v>
      </c>
      <c r="D73" s="49">
        <f t="shared" si="2"/>
        <v>1000</v>
      </c>
      <c r="E73" s="49">
        <f t="shared" ref="E73:P73" si="5">D73*(1+$D$58)</f>
        <v>1010</v>
      </c>
      <c r="F73" s="49">
        <f t="shared" si="5"/>
        <v>1020.1</v>
      </c>
      <c r="G73" s="49">
        <f t="shared" si="5"/>
        <v>1030.3009999999999</v>
      </c>
      <c r="H73" s="49">
        <f t="shared" si="5"/>
        <v>1040.60401</v>
      </c>
      <c r="I73" s="49">
        <f t="shared" si="5"/>
        <v>1051.0100500999999</v>
      </c>
      <c r="J73" s="49">
        <f t="shared" si="5"/>
        <v>1061.5201506009998</v>
      </c>
      <c r="K73" s="49">
        <f t="shared" si="5"/>
        <v>1072.1353521070098</v>
      </c>
      <c r="L73" s="49">
        <f t="shared" si="5"/>
        <v>1082.8567056280799</v>
      </c>
      <c r="M73" s="49">
        <f t="shared" si="5"/>
        <v>1093.6852726843608</v>
      </c>
      <c r="N73" s="49">
        <f t="shared" si="5"/>
        <v>1104.6221254112045</v>
      </c>
      <c r="O73" s="49">
        <f t="shared" si="5"/>
        <v>1115.6683466653164</v>
      </c>
      <c r="P73" s="117">
        <f t="shared" si="5"/>
        <v>1126.8250301319697</v>
      </c>
      <c r="Q73" s="50"/>
      <c r="R73" s="50"/>
      <c r="S73" s="50"/>
      <c r="T73" s="50"/>
      <c r="U73" s="50"/>
      <c r="V73" s="50"/>
      <c r="W73" s="50"/>
      <c r="X73" s="50"/>
      <c r="Y73" s="50"/>
      <c r="Z73" s="50"/>
    </row>
    <row r="74" spans="1:26" ht="15.75" customHeight="1" x14ac:dyDescent="0.35">
      <c r="A74" s="50"/>
      <c r="B74" s="53" t="s">
        <v>148</v>
      </c>
      <c r="C74" s="116" t="s">
        <v>94</v>
      </c>
      <c r="D74" s="49">
        <f t="shared" si="2"/>
        <v>1000</v>
      </c>
      <c r="E74" s="49">
        <f t="shared" ref="E74:P74" si="6">D74*(1+$D$58)</f>
        <v>1010</v>
      </c>
      <c r="F74" s="49">
        <f t="shared" si="6"/>
        <v>1020.1</v>
      </c>
      <c r="G74" s="49">
        <f t="shared" si="6"/>
        <v>1030.3009999999999</v>
      </c>
      <c r="H74" s="49">
        <f t="shared" si="6"/>
        <v>1040.60401</v>
      </c>
      <c r="I74" s="49">
        <f t="shared" si="6"/>
        <v>1051.0100500999999</v>
      </c>
      <c r="J74" s="49">
        <f t="shared" si="6"/>
        <v>1061.5201506009998</v>
      </c>
      <c r="K74" s="49">
        <f t="shared" si="6"/>
        <v>1072.1353521070098</v>
      </c>
      <c r="L74" s="49">
        <f t="shared" si="6"/>
        <v>1082.8567056280799</v>
      </c>
      <c r="M74" s="49">
        <f t="shared" si="6"/>
        <v>1093.6852726843608</v>
      </c>
      <c r="N74" s="49">
        <f t="shared" si="6"/>
        <v>1104.6221254112045</v>
      </c>
      <c r="O74" s="49">
        <f t="shared" si="6"/>
        <v>1115.6683466653164</v>
      </c>
      <c r="P74" s="117">
        <f t="shared" si="6"/>
        <v>1126.8250301319697</v>
      </c>
      <c r="Q74" s="50"/>
      <c r="R74" s="50"/>
      <c r="S74" s="50"/>
      <c r="T74" s="50"/>
      <c r="U74" s="50"/>
      <c r="V74" s="50"/>
      <c r="W74" s="50"/>
      <c r="X74" s="50"/>
      <c r="Y74" s="50"/>
      <c r="Z74" s="50"/>
    </row>
    <row r="75" spans="1:26" ht="15.75" customHeight="1" x14ac:dyDescent="0.35">
      <c r="A75" s="50"/>
      <c r="B75" s="53" t="s">
        <v>149</v>
      </c>
      <c r="C75" s="116" t="s">
        <v>94</v>
      </c>
      <c r="D75" s="49">
        <f t="shared" si="2"/>
        <v>1000</v>
      </c>
      <c r="E75" s="49">
        <f t="shared" ref="E75:P75" si="7">D75*(1+$D$58)</f>
        <v>1010</v>
      </c>
      <c r="F75" s="49">
        <f t="shared" si="7"/>
        <v>1020.1</v>
      </c>
      <c r="G75" s="49">
        <f t="shared" si="7"/>
        <v>1030.3009999999999</v>
      </c>
      <c r="H75" s="49">
        <f t="shared" si="7"/>
        <v>1040.60401</v>
      </c>
      <c r="I75" s="49">
        <f t="shared" si="7"/>
        <v>1051.0100500999999</v>
      </c>
      <c r="J75" s="49">
        <f t="shared" si="7"/>
        <v>1061.5201506009998</v>
      </c>
      <c r="K75" s="49">
        <f t="shared" si="7"/>
        <v>1072.1353521070098</v>
      </c>
      <c r="L75" s="49">
        <f t="shared" si="7"/>
        <v>1082.8567056280799</v>
      </c>
      <c r="M75" s="49">
        <f t="shared" si="7"/>
        <v>1093.6852726843608</v>
      </c>
      <c r="N75" s="49">
        <f t="shared" si="7"/>
        <v>1104.6221254112045</v>
      </c>
      <c r="O75" s="49">
        <f t="shared" si="7"/>
        <v>1115.6683466653164</v>
      </c>
      <c r="P75" s="117">
        <f t="shared" si="7"/>
        <v>1126.8250301319697</v>
      </c>
      <c r="Q75" s="50"/>
      <c r="R75" s="50"/>
      <c r="S75" s="50"/>
      <c r="T75" s="50"/>
      <c r="U75" s="50"/>
      <c r="V75" s="50"/>
      <c r="W75" s="50"/>
      <c r="X75" s="50"/>
      <c r="Y75" s="50"/>
      <c r="Z75" s="50"/>
    </row>
    <row r="76" spans="1:26" ht="15.75" customHeight="1" x14ac:dyDescent="0.35">
      <c r="A76" s="50"/>
      <c r="B76" s="53" t="s">
        <v>150</v>
      </c>
      <c r="C76" s="116" t="s">
        <v>94</v>
      </c>
      <c r="D76" s="49">
        <f t="shared" si="2"/>
        <v>1000</v>
      </c>
      <c r="E76" s="49">
        <f t="shared" ref="E76:P76" si="8">D76*(1+$D$58)</f>
        <v>1010</v>
      </c>
      <c r="F76" s="49">
        <f t="shared" si="8"/>
        <v>1020.1</v>
      </c>
      <c r="G76" s="49">
        <f t="shared" si="8"/>
        <v>1030.3009999999999</v>
      </c>
      <c r="H76" s="49">
        <f t="shared" si="8"/>
        <v>1040.60401</v>
      </c>
      <c r="I76" s="49">
        <f t="shared" si="8"/>
        <v>1051.0100500999999</v>
      </c>
      <c r="J76" s="49">
        <f t="shared" si="8"/>
        <v>1061.5201506009998</v>
      </c>
      <c r="K76" s="49">
        <f t="shared" si="8"/>
        <v>1072.1353521070098</v>
      </c>
      <c r="L76" s="49">
        <f t="shared" si="8"/>
        <v>1082.8567056280799</v>
      </c>
      <c r="M76" s="49">
        <f t="shared" si="8"/>
        <v>1093.6852726843608</v>
      </c>
      <c r="N76" s="49">
        <f t="shared" si="8"/>
        <v>1104.6221254112045</v>
      </c>
      <c r="O76" s="49">
        <f t="shared" si="8"/>
        <v>1115.6683466653164</v>
      </c>
      <c r="P76" s="117">
        <f t="shared" si="8"/>
        <v>1126.8250301319697</v>
      </c>
      <c r="Q76" s="50"/>
      <c r="R76" s="50"/>
      <c r="S76" s="50"/>
      <c r="T76" s="50"/>
      <c r="U76" s="50"/>
      <c r="V76" s="50"/>
      <c r="W76" s="50"/>
      <c r="X76" s="50"/>
      <c r="Y76" s="50"/>
      <c r="Z76" s="50"/>
    </row>
    <row r="77" spans="1:26" ht="15.75" customHeight="1" x14ac:dyDescent="0.35">
      <c r="A77" s="50"/>
      <c r="B77" s="53" t="s">
        <v>151</v>
      </c>
      <c r="C77" s="116" t="s">
        <v>94</v>
      </c>
      <c r="D77" s="49">
        <f t="shared" si="2"/>
        <v>1000</v>
      </c>
      <c r="E77" s="49">
        <f t="shared" ref="E77:P77" si="9">D77*(1+$D$58)</f>
        <v>1010</v>
      </c>
      <c r="F77" s="49">
        <f t="shared" si="9"/>
        <v>1020.1</v>
      </c>
      <c r="G77" s="49">
        <f t="shared" si="9"/>
        <v>1030.3009999999999</v>
      </c>
      <c r="H77" s="49">
        <f t="shared" si="9"/>
        <v>1040.60401</v>
      </c>
      <c r="I77" s="49">
        <f t="shared" si="9"/>
        <v>1051.0100500999999</v>
      </c>
      <c r="J77" s="49">
        <f t="shared" si="9"/>
        <v>1061.5201506009998</v>
      </c>
      <c r="K77" s="49">
        <f t="shared" si="9"/>
        <v>1072.1353521070098</v>
      </c>
      <c r="L77" s="49">
        <f t="shared" si="9"/>
        <v>1082.8567056280799</v>
      </c>
      <c r="M77" s="49">
        <f t="shared" si="9"/>
        <v>1093.6852726843608</v>
      </c>
      <c r="N77" s="49">
        <f t="shared" si="9"/>
        <v>1104.6221254112045</v>
      </c>
      <c r="O77" s="49">
        <f t="shared" si="9"/>
        <v>1115.6683466653164</v>
      </c>
      <c r="P77" s="117">
        <f t="shared" si="9"/>
        <v>1126.8250301319697</v>
      </c>
      <c r="Q77" s="50"/>
      <c r="R77" s="50"/>
      <c r="S77" s="50"/>
      <c r="T77" s="50"/>
      <c r="U77" s="50"/>
      <c r="V77" s="50"/>
      <c r="W77" s="50"/>
      <c r="X77" s="50"/>
      <c r="Y77" s="50"/>
      <c r="Z77" s="50"/>
    </row>
    <row r="78" spans="1:26" ht="15.75" customHeight="1" x14ac:dyDescent="0.35">
      <c r="A78" s="50"/>
      <c r="B78" s="53" t="s">
        <v>152</v>
      </c>
      <c r="C78" s="116" t="s">
        <v>94</v>
      </c>
      <c r="D78" s="49">
        <f t="shared" si="2"/>
        <v>1000</v>
      </c>
      <c r="E78" s="49">
        <f t="shared" ref="E78:P78" si="10">D78*(1+$D$58)</f>
        <v>1010</v>
      </c>
      <c r="F78" s="49">
        <f t="shared" si="10"/>
        <v>1020.1</v>
      </c>
      <c r="G78" s="49">
        <f t="shared" si="10"/>
        <v>1030.3009999999999</v>
      </c>
      <c r="H78" s="49">
        <f t="shared" si="10"/>
        <v>1040.60401</v>
      </c>
      <c r="I78" s="49">
        <f t="shared" si="10"/>
        <v>1051.0100500999999</v>
      </c>
      <c r="J78" s="49">
        <f t="shared" si="10"/>
        <v>1061.5201506009998</v>
      </c>
      <c r="K78" s="49">
        <f t="shared" si="10"/>
        <v>1072.1353521070098</v>
      </c>
      <c r="L78" s="49">
        <f t="shared" si="10"/>
        <v>1082.8567056280799</v>
      </c>
      <c r="M78" s="49">
        <f t="shared" si="10"/>
        <v>1093.6852726843608</v>
      </c>
      <c r="N78" s="49">
        <f t="shared" si="10"/>
        <v>1104.6221254112045</v>
      </c>
      <c r="O78" s="49">
        <f t="shared" si="10"/>
        <v>1115.6683466653164</v>
      </c>
      <c r="P78" s="117">
        <f t="shared" si="10"/>
        <v>1126.8250301319697</v>
      </c>
      <c r="Q78" s="50"/>
      <c r="R78" s="50"/>
      <c r="S78" s="50"/>
      <c r="T78" s="50"/>
      <c r="U78" s="50"/>
      <c r="V78" s="50"/>
      <c r="W78" s="50"/>
      <c r="X78" s="50"/>
      <c r="Y78" s="50"/>
      <c r="Z78" s="50"/>
    </row>
    <row r="79" spans="1:26" ht="15.75" customHeight="1" x14ac:dyDescent="0.35">
      <c r="A79" s="50"/>
      <c r="B79" s="53" t="s">
        <v>153</v>
      </c>
      <c r="C79" s="116" t="s">
        <v>94</v>
      </c>
      <c r="D79" s="49">
        <f t="shared" si="2"/>
        <v>1000</v>
      </c>
      <c r="E79" s="49">
        <f t="shared" ref="E79:P79" si="11">D79*(1+$D$58)</f>
        <v>1010</v>
      </c>
      <c r="F79" s="49">
        <f t="shared" si="11"/>
        <v>1020.1</v>
      </c>
      <c r="G79" s="49">
        <f t="shared" si="11"/>
        <v>1030.3009999999999</v>
      </c>
      <c r="H79" s="49">
        <f t="shared" si="11"/>
        <v>1040.60401</v>
      </c>
      <c r="I79" s="49">
        <f t="shared" si="11"/>
        <v>1051.0100500999999</v>
      </c>
      <c r="J79" s="49">
        <f t="shared" si="11"/>
        <v>1061.5201506009998</v>
      </c>
      <c r="K79" s="49">
        <f t="shared" si="11"/>
        <v>1072.1353521070098</v>
      </c>
      <c r="L79" s="49">
        <f t="shared" si="11"/>
        <v>1082.8567056280799</v>
      </c>
      <c r="M79" s="49">
        <f t="shared" si="11"/>
        <v>1093.6852726843608</v>
      </c>
      <c r="N79" s="49">
        <f t="shared" si="11"/>
        <v>1104.6221254112045</v>
      </c>
      <c r="O79" s="49">
        <f t="shared" si="11"/>
        <v>1115.6683466653164</v>
      </c>
      <c r="P79" s="117">
        <f t="shared" si="11"/>
        <v>1126.8250301319697</v>
      </c>
      <c r="Q79" s="50"/>
      <c r="R79" s="50"/>
      <c r="S79" s="50"/>
      <c r="T79" s="50"/>
      <c r="U79" s="50"/>
      <c r="V79" s="50"/>
      <c r="W79" s="50"/>
      <c r="X79" s="50"/>
      <c r="Y79" s="50"/>
      <c r="Z79" s="50"/>
    </row>
    <row r="80" spans="1:26" ht="15.75" customHeight="1" x14ac:dyDescent="0.35">
      <c r="A80" s="50"/>
      <c r="B80" s="53" t="s">
        <v>154</v>
      </c>
      <c r="C80" s="116" t="s">
        <v>94</v>
      </c>
      <c r="D80" s="49">
        <f t="shared" si="2"/>
        <v>1000</v>
      </c>
      <c r="E80" s="49">
        <f t="shared" ref="E80:P80" si="12">D80*(1+$D$58)</f>
        <v>1010</v>
      </c>
      <c r="F80" s="49">
        <f t="shared" si="12"/>
        <v>1020.1</v>
      </c>
      <c r="G80" s="49">
        <f t="shared" si="12"/>
        <v>1030.3009999999999</v>
      </c>
      <c r="H80" s="49">
        <f t="shared" si="12"/>
        <v>1040.60401</v>
      </c>
      <c r="I80" s="49">
        <f t="shared" si="12"/>
        <v>1051.0100500999999</v>
      </c>
      <c r="J80" s="49">
        <f t="shared" si="12"/>
        <v>1061.5201506009998</v>
      </c>
      <c r="K80" s="49">
        <f t="shared" si="12"/>
        <v>1072.1353521070098</v>
      </c>
      <c r="L80" s="49">
        <f t="shared" si="12"/>
        <v>1082.8567056280799</v>
      </c>
      <c r="M80" s="49">
        <f t="shared" si="12"/>
        <v>1093.6852726843608</v>
      </c>
      <c r="N80" s="49">
        <f t="shared" si="12"/>
        <v>1104.6221254112045</v>
      </c>
      <c r="O80" s="49">
        <f t="shared" si="12"/>
        <v>1115.6683466653164</v>
      </c>
      <c r="P80" s="117">
        <f t="shared" si="12"/>
        <v>1126.8250301319697</v>
      </c>
      <c r="Q80" s="50"/>
      <c r="R80" s="50"/>
      <c r="S80" s="50"/>
      <c r="T80" s="50"/>
      <c r="U80" s="50"/>
      <c r="V80" s="50"/>
      <c r="W80" s="50"/>
      <c r="X80" s="50"/>
      <c r="Y80" s="50"/>
      <c r="Z80" s="50"/>
    </row>
    <row r="81" spans="1:26" ht="15.75" customHeight="1" x14ac:dyDescent="0.35">
      <c r="A81" s="50"/>
      <c r="B81" s="53" t="s">
        <v>155</v>
      </c>
      <c r="C81" s="116" t="s">
        <v>94</v>
      </c>
      <c r="D81" s="49">
        <f t="shared" si="2"/>
        <v>1000</v>
      </c>
      <c r="E81" s="49">
        <f t="shared" ref="E81:P81" si="13">D81*(1+$D$58)</f>
        <v>1010</v>
      </c>
      <c r="F81" s="49">
        <f t="shared" si="13"/>
        <v>1020.1</v>
      </c>
      <c r="G81" s="49">
        <f t="shared" si="13"/>
        <v>1030.3009999999999</v>
      </c>
      <c r="H81" s="49">
        <f t="shared" si="13"/>
        <v>1040.60401</v>
      </c>
      <c r="I81" s="49">
        <f t="shared" si="13"/>
        <v>1051.0100500999999</v>
      </c>
      <c r="J81" s="49">
        <f t="shared" si="13"/>
        <v>1061.5201506009998</v>
      </c>
      <c r="K81" s="49">
        <f t="shared" si="13"/>
        <v>1072.1353521070098</v>
      </c>
      <c r="L81" s="49">
        <f t="shared" si="13"/>
        <v>1082.8567056280799</v>
      </c>
      <c r="M81" s="49">
        <f t="shared" si="13"/>
        <v>1093.6852726843608</v>
      </c>
      <c r="N81" s="49">
        <f t="shared" si="13"/>
        <v>1104.6221254112045</v>
      </c>
      <c r="O81" s="49">
        <f t="shared" si="13"/>
        <v>1115.6683466653164</v>
      </c>
      <c r="P81" s="117">
        <f t="shared" si="13"/>
        <v>1126.8250301319697</v>
      </c>
      <c r="Q81" s="50"/>
      <c r="R81" s="50"/>
      <c r="S81" s="50"/>
      <c r="T81" s="50"/>
      <c r="U81" s="50"/>
      <c r="V81" s="50"/>
      <c r="W81" s="50"/>
      <c r="X81" s="50"/>
      <c r="Y81" s="50"/>
      <c r="Z81" s="50"/>
    </row>
    <row r="82" spans="1:26" ht="15.75" customHeight="1" x14ac:dyDescent="0.35">
      <c r="A82" s="50"/>
      <c r="B82" s="53" t="s">
        <v>156</v>
      </c>
      <c r="C82" s="116" t="s">
        <v>94</v>
      </c>
      <c r="D82" s="49">
        <f t="shared" si="2"/>
        <v>1000</v>
      </c>
      <c r="E82" s="49">
        <f t="shared" ref="E82:P82" si="14">D82*(1+$D$58)</f>
        <v>1010</v>
      </c>
      <c r="F82" s="49">
        <f t="shared" si="14"/>
        <v>1020.1</v>
      </c>
      <c r="G82" s="49">
        <f t="shared" si="14"/>
        <v>1030.3009999999999</v>
      </c>
      <c r="H82" s="49">
        <f t="shared" si="14"/>
        <v>1040.60401</v>
      </c>
      <c r="I82" s="49">
        <f t="shared" si="14"/>
        <v>1051.0100500999999</v>
      </c>
      <c r="J82" s="49">
        <f t="shared" si="14"/>
        <v>1061.5201506009998</v>
      </c>
      <c r="K82" s="49">
        <f t="shared" si="14"/>
        <v>1072.1353521070098</v>
      </c>
      <c r="L82" s="49">
        <f t="shared" si="14"/>
        <v>1082.8567056280799</v>
      </c>
      <c r="M82" s="49">
        <f t="shared" si="14"/>
        <v>1093.6852726843608</v>
      </c>
      <c r="N82" s="49">
        <f t="shared" si="14"/>
        <v>1104.6221254112045</v>
      </c>
      <c r="O82" s="49">
        <f t="shared" si="14"/>
        <v>1115.6683466653164</v>
      </c>
      <c r="P82" s="117">
        <f t="shared" si="14"/>
        <v>1126.8250301319697</v>
      </c>
      <c r="Q82" s="50"/>
      <c r="R82" s="50"/>
      <c r="S82" s="50"/>
      <c r="T82" s="50"/>
      <c r="U82" s="50"/>
      <c r="V82" s="50"/>
      <c r="W82" s="50"/>
      <c r="X82" s="50"/>
      <c r="Y82" s="50"/>
      <c r="Z82" s="50"/>
    </row>
    <row r="83" spans="1:26" ht="15.75" customHeight="1" x14ac:dyDescent="0.35">
      <c r="A83" s="50"/>
      <c r="B83" s="161" t="s">
        <v>157</v>
      </c>
      <c r="C83" s="116" t="s">
        <v>94</v>
      </c>
      <c r="D83" s="49">
        <f t="shared" si="2"/>
        <v>1000</v>
      </c>
      <c r="E83" s="49">
        <f t="shared" ref="E83:P83" si="15">D83*(1+$D$58)</f>
        <v>1010</v>
      </c>
      <c r="F83" s="49">
        <f t="shared" si="15"/>
        <v>1020.1</v>
      </c>
      <c r="G83" s="49">
        <f t="shared" si="15"/>
        <v>1030.3009999999999</v>
      </c>
      <c r="H83" s="49">
        <f t="shared" si="15"/>
        <v>1040.60401</v>
      </c>
      <c r="I83" s="49">
        <f t="shared" si="15"/>
        <v>1051.0100500999999</v>
      </c>
      <c r="J83" s="49">
        <f t="shared" si="15"/>
        <v>1061.5201506009998</v>
      </c>
      <c r="K83" s="49">
        <f t="shared" si="15"/>
        <v>1072.1353521070098</v>
      </c>
      <c r="L83" s="49">
        <f t="shared" si="15"/>
        <v>1082.8567056280799</v>
      </c>
      <c r="M83" s="49">
        <f t="shared" si="15"/>
        <v>1093.6852726843608</v>
      </c>
      <c r="N83" s="49">
        <f t="shared" si="15"/>
        <v>1104.6221254112045</v>
      </c>
      <c r="O83" s="49">
        <f t="shared" si="15"/>
        <v>1115.6683466653164</v>
      </c>
      <c r="P83" s="117">
        <f t="shared" si="15"/>
        <v>1126.8250301319697</v>
      </c>
      <c r="Q83" s="50"/>
      <c r="R83" s="50"/>
      <c r="S83" s="50"/>
      <c r="T83" s="50"/>
      <c r="U83" s="50"/>
      <c r="V83" s="50"/>
      <c r="W83" s="50"/>
      <c r="X83" s="50"/>
      <c r="Y83" s="50"/>
      <c r="Z83" s="50"/>
    </row>
    <row r="84" spans="1:26" ht="15.75" customHeight="1" x14ac:dyDescent="0.35">
      <c r="A84" s="50"/>
      <c r="B84" s="53" t="s">
        <v>158</v>
      </c>
      <c r="C84" s="116" t="s">
        <v>94</v>
      </c>
      <c r="D84" s="49">
        <f t="shared" si="2"/>
        <v>1000</v>
      </c>
      <c r="E84" s="49">
        <f t="shared" ref="E84:P84" si="16">D84*(1+$D$58)</f>
        <v>1010</v>
      </c>
      <c r="F84" s="49">
        <f t="shared" si="16"/>
        <v>1020.1</v>
      </c>
      <c r="G84" s="49">
        <f t="shared" si="16"/>
        <v>1030.3009999999999</v>
      </c>
      <c r="H84" s="49">
        <f t="shared" si="16"/>
        <v>1040.60401</v>
      </c>
      <c r="I84" s="49">
        <f t="shared" si="16"/>
        <v>1051.0100500999999</v>
      </c>
      <c r="J84" s="49">
        <f t="shared" si="16"/>
        <v>1061.5201506009998</v>
      </c>
      <c r="K84" s="49">
        <f t="shared" si="16"/>
        <v>1072.1353521070098</v>
      </c>
      <c r="L84" s="49">
        <f t="shared" si="16"/>
        <v>1082.8567056280799</v>
      </c>
      <c r="M84" s="49">
        <f t="shared" si="16"/>
        <v>1093.6852726843608</v>
      </c>
      <c r="N84" s="49">
        <f t="shared" si="16"/>
        <v>1104.6221254112045</v>
      </c>
      <c r="O84" s="49">
        <f t="shared" si="16"/>
        <v>1115.6683466653164</v>
      </c>
      <c r="P84" s="117">
        <f t="shared" si="16"/>
        <v>1126.8250301319697</v>
      </c>
      <c r="Q84" s="50"/>
      <c r="R84" s="50"/>
      <c r="S84" s="50"/>
      <c r="T84" s="50"/>
      <c r="U84" s="50"/>
      <c r="V84" s="50"/>
      <c r="W84" s="50"/>
      <c r="X84" s="50"/>
      <c r="Y84" s="50"/>
      <c r="Z84" s="50"/>
    </row>
    <row r="85" spans="1:26" ht="15.75" customHeight="1" x14ac:dyDescent="0.35">
      <c r="A85" s="32"/>
      <c r="B85" s="58" t="s">
        <v>65</v>
      </c>
      <c r="C85" s="116" t="s">
        <v>94</v>
      </c>
      <c r="D85" s="118">
        <f t="shared" ref="D85:P85" si="17">SUM(D71:D84)</f>
        <v>14000</v>
      </c>
      <c r="E85" s="118">
        <f t="shared" si="17"/>
        <v>14140</v>
      </c>
      <c r="F85" s="118">
        <f t="shared" si="17"/>
        <v>14281.400000000003</v>
      </c>
      <c r="G85" s="118">
        <f t="shared" si="17"/>
        <v>14424.213999999994</v>
      </c>
      <c r="H85" s="118">
        <f t="shared" si="17"/>
        <v>14568.456139999995</v>
      </c>
      <c r="I85" s="118">
        <f t="shared" si="17"/>
        <v>14714.140701399998</v>
      </c>
      <c r="J85" s="118">
        <f t="shared" si="17"/>
        <v>14861.282108413998</v>
      </c>
      <c r="K85" s="118">
        <f t="shared" si="17"/>
        <v>15009.894929498141</v>
      </c>
      <c r="L85" s="118">
        <f t="shared" si="17"/>
        <v>15159.993878793124</v>
      </c>
      <c r="M85" s="118">
        <f t="shared" si="17"/>
        <v>15311.593817581052</v>
      </c>
      <c r="N85" s="118">
        <f t="shared" si="17"/>
        <v>15464.709755756861</v>
      </c>
      <c r="O85" s="118">
        <f t="shared" si="17"/>
        <v>15619.356853314426</v>
      </c>
      <c r="P85" s="118">
        <f t="shared" si="17"/>
        <v>15775.550421847574</v>
      </c>
      <c r="Q85" s="32"/>
      <c r="R85" s="32"/>
      <c r="S85" s="32"/>
      <c r="T85" s="32"/>
      <c r="U85" s="32"/>
      <c r="V85" s="32"/>
      <c r="W85" s="32"/>
      <c r="X85" s="32"/>
      <c r="Y85" s="32"/>
      <c r="Z85" s="32"/>
    </row>
    <row r="86" spans="1:26" ht="15.75" customHeight="1" x14ac:dyDescent="0.35">
      <c r="A86" s="50"/>
      <c r="B86" s="46" t="s">
        <v>242</v>
      </c>
      <c r="C86" s="65"/>
      <c r="D86" s="123"/>
      <c r="E86" s="123"/>
      <c r="F86" s="123"/>
      <c r="G86" s="50"/>
      <c r="H86" s="50"/>
      <c r="I86" s="50"/>
      <c r="J86" s="50"/>
      <c r="K86" s="50"/>
      <c r="L86" s="50"/>
      <c r="M86" s="50"/>
      <c r="N86" s="50"/>
      <c r="O86" s="50"/>
      <c r="P86" s="115"/>
      <c r="Q86" s="50"/>
      <c r="R86" s="50"/>
      <c r="S86" s="50"/>
      <c r="T86" s="50"/>
      <c r="U86" s="50"/>
      <c r="V86" s="50"/>
      <c r="W86" s="50"/>
      <c r="X86" s="50"/>
      <c r="Y86" s="50"/>
      <c r="Z86" s="50"/>
    </row>
    <row r="87" spans="1:26" ht="15.75" customHeight="1" x14ac:dyDescent="0.35">
      <c r="A87" s="50"/>
      <c r="B87" s="53" t="s">
        <v>145</v>
      </c>
      <c r="C87" s="116" t="s">
        <v>94</v>
      </c>
      <c r="D87" s="80">
        <f t="shared" ref="D87:D100" si="18">D71*D28</f>
        <v>10</v>
      </c>
      <c r="E87" s="80">
        <f t="shared" ref="E87:F87" si="19">IF(D87&gt;0,D87*(1+$D$60),(E71*E28))</f>
        <v>10.5</v>
      </c>
      <c r="F87" s="80">
        <f t="shared" si="19"/>
        <v>11.025</v>
      </c>
      <c r="G87" s="120">
        <f t="shared" ref="G87:P87" si="20">F87*(1+$D$60)</f>
        <v>11.576250000000002</v>
      </c>
      <c r="H87" s="120">
        <f t="shared" si="20"/>
        <v>12.155062500000001</v>
      </c>
      <c r="I87" s="120">
        <f t="shared" si="20"/>
        <v>12.762815625000002</v>
      </c>
      <c r="J87" s="120">
        <f t="shared" si="20"/>
        <v>13.400956406250003</v>
      </c>
      <c r="K87" s="120">
        <f t="shared" si="20"/>
        <v>14.071004226562504</v>
      </c>
      <c r="L87" s="120">
        <f t="shared" si="20"/>
        <v>14.774554437890631</v>
      </c>
      <c r="M87" s="120">
        <f t="shared" si="20"/>
        <v>15.513282159785163</v>
      </c>
      <c r="N87" s="120">
        <f t="shared" si="20"/>
        <v>16.288946267774421</v>
      </c>
      <c r="O87" s="120">
        <f t="shared" si="20"/>
        <v>17.103393581163143</v>
      </c>
      <c r="P87" s="124">
        <f t="shared" si="20"/>
        <v>17.9585632602213</v>
      </c>
      <c r="Q87" s="50"/>
      <c r="R87" s="50"/>
      <c r="S87" s="50"/>
      <c r="T87" s="50"/>
      <c r="U87" s="50"/>
      <c r="V87" s="50"/>
      <c r="W87" s="50"/>
      <c r="X87" s="50"/>
      <c r="Y87" s="50"/>
      <c r="Z87" s="50"/>
    </row>
    <row r="88" spans="1:26" ht="15.75" customHeight="1" x14ac:dyDescent="0.35">
      <c r="A88" s="50"/>
      <c r="B88" s="53" t="s">
        <v>146</v>
      </c>
      <c r="C88" s="116" t="s">
        <v>94</v>
      </c>
      <c r="D88" s="80">
        <f t="shared" si="18"/>
        <v>10</v>
      </c>
      <c r="E88" s="80">
        <f t="shared" ref="E88:F88" si="21">IF(D88&gt;0,D88*(1+$D$60),(E72*E29))</f>
        <v>10.5</v>
      </c>
      <c r="F88" s="80">
        <f t="shared" si="21"/>
        <v>11.025</v>
      </c>
      <c r="G88" s="120">
        <f t="shared" ref="G88:P88" si="22">F88*(1+$D$60)</f>
        <v>11.576250000000002</v>
      </c>
      <c r="H88" s="120">
        <f t="shared" si="22"/>
        <v>12.155062500000001</v>
      </c>
      <c r="I88" s="120">
        <f t="shared" si="22"/>
        <v>12.762815625000002</v>
      </c>
      <c r="J88" s="120">
        <f t="shared" si="22"/>
        <v>13.400956406250003</v>
      </c>
      <c r="K88" s="120">
        <f t="shared" si="22"/>
        <v>14.071004226562504</v>
      </c>
      <c r="L88" s="120">
        <f t="shared" si="22"/>
        <v>14.774554437890631</v>
      </c>
      <c r="M88" s="120">
        <f t="shared" si="22"/>
        <v>15.513282159785163</v>
      </c>
      <c r="N88" s="120">
        <f t="shared" si="22"/>
        <v>16.288946267774421</v>
      </c>
      <c r="O88" s="120">
        <f t="shared" si="22"/>
        <v>17.103393581163143</v>
      </c>
      <c r="P88" s="124">
        <f t="shared" si="22"/>
        <v>17.9585632602213</v>
      </c>
      <c r="Q88" s="50"/>
      <c r="R88" s="50"/>
      <c r="S88" s="50"/>
      <c r="T88" s="50"/>
      <c r="U88" s="50"/>
      <c r="V88" s="50"/>
      <c r="W88" s="50"/>
      <c r="X88" s="50"/>
      <c r="Y88" s="50"/>
      <c r="Z88" s="50"/>
    </row>
    <row r="89" spans="1:26" ht="15.75" customHeight="1" x14ac:dyDescent="0.35">
      <c r="A89" s="50"/>
      <c r="B89" s="53" t="s">
        <v>147</v>
      </c>
      <c r="C89" s="116" t="s">
        <v>94</v>
      </c>
      <c r="D89" s="80">
        <f t="shared" si="18"/>
        <v>0</v>
      </c>
      <c r="E89" s="80">
        <f t="shared" ref="E89:F89" si="23">IF(D89&gt;0,D89*(1+$D$60),(E73*E30))</f>
        <v>10.1</v>
      </c>
      <c r="F89" s="80">
        <f t="shared" si="23"/>
        <v>10.605</v>
      </c>
      <c r="G89" s="120">
        <f t="shared" ref="G89:P89" si="24">F89*(1+$D$60)</f>
        <v>11.135250000000001</v>
      </c>
      <c r="H89" s="120">
        <f t="shared" si="24"/>
        <v>11.692012500000002</v>
      </c>
      <c r="I89" s="120">
        <f t="shared" si="24"/>
        <v>12.276613125000003</v>
      </c>
      <c r="J89" s="120">
        <f t="shared" si="24"/>
        <v>12.890443781250003</v>
      </c>
      <c r="K89" s="120">
        <f t="shared" si="24"/>
        <v>13.534965970312504</v>
      </c>
      <c r="L89" s="120">
        <f t="shared" si="24"/>
        <v>14.21171426882813</v>
      </c>
      <c r="M89" s="120">
        <f t="shared" si="24"/>
        <v>14.922299982269537</v>
      </c>
      <c r="N89" s="120">
        <f t="shared" si="24"/>
        <v>15.668414981383014</v>
      </c>
      <c r="O89" s="120">
        <f t="shared" si="24"/>
        <v>16.451835730452167</v>
      </c>
      <c r="P89" s="124">
        <f t="shared" si="24"/>
        <v>17.274427516974775</v>
      </c>
      <c r="Q89" s="50"/>
      <c r="R89" s="50"/>
      <c r="S89" s="50"/>
      <c r="T89" s="50"/>
      <c r="U89" s="50"/>
      <c r="V89" s="50"/>
      <c r="W89" s="50"/>
      <c r="X89" s="50"/>
      <c r="Y89" s="50"/>
      <c r="Z89" s="50"/>
    </row>
    <row r="90" spans="1:26" ht="15.75" customHeight="1" x14ac:dyDescent="0.35">
      <c r="A90" s="50"/>
      <c r="B90" s="53" t="s">
        <v>148</v>
      </c>
      <c r="C90" s="116" t="s">
        <v>94</v>
      </c>
      <c r="D90" s="80">
        <f t="shared" si="18"/>
        <v>0</v>
      </c>
      <c r="E90" s="80">
        <f t="shared" ref="E90:F90" si="25">IF(D90&gt;0,D90*(1+$D$60),(E74*E31))</f>
        <v>30.299999999999997</v>
      </c>
      <c r="F90" s="80">
        <f t="shared" si="25"/>
        <v>31.814999999999998</v>
      </c>
      <c r="G90" s="120">
        <f t="shared" ref="G90:P90" si="26">F90*(1+$D$60)</f>
        <v>33.405749999999998</v>
      </c>
      <c r="H90" s="120">
        <f t="shared" si="26"/>
        <v>35.076037499999998</v>
      </c>
      <c r="I90" s="120">
        <f t="shared" si="26"/>
        <v>36.829839374999999</v>
      </c>
      <c r="J90" s="120">
        <f t="shared" si="26"/>
        <v>38.671331343749998</v>
      </c>
      <c r="K90" s="120">
        <f t="shared" si="26"/>
        <v>40.604897910937503</v>
      </c>
      <c r="L90" s="120">
        <f t="shared" si="26"/>
        <v>42.635142806484382</v>
      </c>
      <c r="M90" s="120">
        <f t="shared" si="26"/>
        <v>44.7668999468086</v>
      </c>
      <c r="N90" s="120">
        <f t="shared" si="26"/>
        <v>47.005244944149034</v>
      </c>
      <c r="O90" s="120">
        <f t="shared" si="26"/>
        <v>49.355507191356487</v>
      </c>
      <c r="P90" s="124">
        <f t="shared" si="26"/>
        <v>51.823282550924311</v>
      </c>
      <c r="Q90" s="50"/>
      <c r="R90" s="50"/>
      <c r="S90" s="50"/>
      <c r="T90" s="50"/>
      <c r="U90" s="50"/>
      <c r="V90" s="50"/>
      <c r="W90" s="50"/>
      <c r="X90" s="50"/>
      <c r="Y90" s="50"/>
      <c r="Z90" s="50"/>
    </row>
    <row r="91" spans="1:26" ht="15.75" customHeight="1" x14ac:dyDescent="0.35">
      <c r="A91" s="50"/>
      <c r="B91" s="53" t="s">
        <v>149</v>
      </c>
      <c r="C91" s="116" t="s">
        <v>94</v>
      </c>
      <c r="D91" s="80">
        <f t="shared" si="18"/>
        <v>0</v>
      </c>
      <c r="E91" s="80">
        <f t="shared" ref="E91:F91" si="27">IF(D91&gt;0,D91*(1+$D$60),(E75*E32))</f>
        <v>0</v>
      </c>
      <c r="F91" s="80">
        <f t="shared" si="27"/>
        <v>0</v>
      </c>
      <c r="G91" s="120">
        <f t="shared" ref="G91:P91" si="28">F91*(1+$D$60)</f>
        <v>0</v>
      </c>
      <c r="H91" s="120">
        <f t="shared" si="28"/>
        <v>0</v>
      </c>
      <c r="I91" s="120">
        <f t="shared" si="28"/>
        <v>0</v>
      </c>
      <c r="J91" s="120">
        <f t="shared" si="28"/>
        <v>0</v>
      </c>
      <c r="K91" s="120">
        <f t="shared" si="28"/>
        <v>0</v>
      </c>
      <c r="L91" s="120">
        <f t="shared" si="28"/>
        <v>0</v>
      </c>
      <c r="M91" s="120">
        <f t="shared" si="28"/>
        <v>0</v>
      </c>
      <c r="N91" s="120">
        <f t="shared" si="28"/>
        <v>0</v>
      </c>
      <c r="O91" s="120">
        <f t="shared" si="28"/>
        <v>0</v>
      </c>
      <c r="P91" s="124">
        <f t="shared" si="28"/>
        <v>0</v>
      </c>
      <c r="Q91" s="50"/>
      <c r="R91" s="50"/>
      <c r="S91" s="50"/>
      <c r="T91" s="50"/>
      <c r="U91" s="50"/>
      <c r="V91" s="50"/>
      <c r="W91" s="50"/>
      <c r="X91" s="50"/>
      <c r="Y91" s="50"/>
      <c r="Z91" s="50"/>
    </row>
    <row r="92" spans="1:26" ht="15.75" customHeight="1" x14ac:dyDescent="0.35">
      <c r="A92" s="50"/>
      <c r="B92" s="53" t="s">
        <v>150</v>
      </c>
      <c r="C92" s="116" t="s">
        <v>94</v>
      </c>
      <c r="D92" s="80">
        <f t="shared" si="18"/>
        <v>0</v>
      </c>
      <c r="E92" s="80">
        <f t="shared" ref="E92:F92" si="29">IF(D92&gt;0,D92*(1+$D$60),(E76*E33))</f>
        <v>0</v>
      </c>
      <c r="F92" s="80">
        <f t="shared" si="29"/>
        <v>10.201000000000001</v>
      </c>
      <c r="G92" s="120">
        <f t="shared" ref="G92:P92" si="30">F92*(1+$D$60)</f>
        <v>10.71105</v>
      </c>
      <c r="H92" s="120">
        <f t="shared" si="30"/>
        <v>11.2466025</v>
      </c>
      <c r="I92" s="120">
        <f t="shared" si="30"/>
        <v>11.808932625000001</v>
      </c>
      <c r="J92" s="120">
        <f t="shared" si="30"/>
        <v>12.39937925625</v>
      </c>
      <c r="K92" s="120">
        <f t="shared" si="30"/>
        <v>13.019348219062501</v>
      </c>
      <c r="L92" s="120">
        <f t="shared" si="30"/>
        <v>13.670315630015626</v>
      </c>
      <c r="M92" s="120">
        <f t="shared" si="30"/>
        <v>14.353831411516408</v>
      </c>
      <c r="N92" s="120">
        <f t="shared" si="30"/>
        <v>15.07152298209223</v>
      </c>
      <c r="O92" s="120">
        <f t="shared" si="30"/>
        <v>15.825099131196842</v>
      </c>
      <c r="P92" s="124">
        <f t="shared" si="30"/>
        <v>16.616354087756683</v>
      </c>
      <c r="Q92" s="50"/>
      <c r="R92" s="50"/>
      <c r="S92" s="50"/>
      <c r="T92" s="50"/>
      <c r="U92" s="50"/>
      <c r="V92" s="50"/>
      <c r="W92" s="50"/>
      <c r="X92" s="50"/>
      <c r="Y92" s="50"/>
      <c r="Z92" s="50"/>
    </row>
    <row r="93" spans="1:26" ht="15.75" customHeight="1" x14ac:dyDescent="0.35">
      <c r="A93" s="50"/>
      <c r="B93" s="53" t="s">
        <v>151</v>
      </c>
      <c r="C93" s="116" t="s">
        <v>94</v>
      </c>
      <c r="D93" s="80">
        <f t="shared" si="18"/>
        <v>0</v>
      </c>
      <c r="E93" s="80">
        <f t="shared" ref="E93:F93" si="31">IF(D93&gt;0,D93*(1+$D$60),(E77*E34))</f>
        <v>0</v>
      </c>
      <c r="F93" s="80">
        <f t="shared" si="31"/>
        <v>10.201000000000001</v>
      </c>
      <c r="G93" s="120">
        <f t="shared" ref="G93:P93" si="32">F93*(1+$D$60)</f>
        <v>10.71105</v>
      </c>
      <c r="H93" s="120">
        <f t="shared" si="32"/>
        <v>11.2466025</v>
      </c>
      <c r="I93" s="120">
        <f t="shared" si="32"/>
        <v>11.808932625000001</v>
      </c>
      <c r="J93" s="120">
        <f t="shared" si="32"/>
        <v>12.39937925625</v>
      </c>
      <c r="K93" s="120">
        <f t="shared" si="32"/>
        <v>13.019348219062501</v>
      </c>
      <c r="L93" s="120">
        <f t="shared" si="32"/>
        <v>13.670315630015626</v>
      </c>
      <c r="M93" s="120">
        <f t="shared" si="32"/>
        <v>14.353831411516408</v>
      </c>
      <c r="N93" s="120">
        <f t="shared" si="32"/>
        <v>15.07152298209223</v>
      </c>
      <c r="O93" s="120">
        <f t="shared" si="32"/>
        <v>15.825099131196842</v>
      </c>
      <c r="P93" s="124">
        <f t="shared" si="32"/>
        <v>16.616354087756683</v>
      </c>
      <c r="Q93" s="50"/>
      <c r="R93" s="50"/>
      <c r="S93" s="50"/>
      <c r="T93" s="50"/>
      <c r="U93" s="50"/>
      <c r="V93" s="50"/>
      <c r="W93" s="50"/>
      <c r="X93" s="50"/>
      <c r="Y93" s="50"/>
      <c r="Z93" s="50"/>
    </row>
    <row r="94" spans="1:26" ht="15.75" customHeight="1" x14ac:dyDescent="0.35">
      <c r="A94" s="50"/>
      <c r="B94" s="53" t="s">
        <v>152</v>
      </c>
      <c r="C94" s="116" t="s">
        <v>94</v>
      </c>
      <c r="D94" s="80">
        <f t="shared" si="18"/>
        <v>0</v>
      </c>
      <c r="E94" s="80">
        <f t="shared" ref="E94:F94" si="33">IF(D94&gt;0,D94*(1+$D$60),(E78*E35))</f>
        <v>0</v>
      </c>
      <c r="F94" s="80">
        <f t="shared" si="33"/>
        <v>10.201000000000001</v>
      </c>
      <c r="G94" s="120">
        <f t="shared" ref="G94:P94" si="34">F94*(1+$D$60)</f>
        <v>10.71105</v>
      </c>
      <c r="H94" s="120">
        <f t="shared" si="34"/>
        <v>11.2466025</v>
      </c>
      <c r="I94" s="120">
        <f t="shared" si="34"/>
        <v>11.808932625000001</v>
      </c>
      <c r="J94" s="120">
        <f t="shared" si="34"/>
        <v>12.39937925625</v>
      </c>
      <c r="K94" s="120">
        <f t="shared" si="34"/>
        <v>13.019348219062501</v>
      </c>
      <c r="L94" s="120">
        <f t="shared" si="34"/>
        <v>13.670315630015626</v>
      </c>
      <c r="M94" s="120">
        <f t="shared" si="34"/>
        <v>14.353831411516408</v>
      </c>
      <c r="N94" s="120">
        <f t="shared" si="34"/>
        <v>15.07152298209223</v>
      </c>
      <c r="O94" s="120">
        <f t="shared" si="34"/>
        <v>15.825099131196842</v>
      </c>
      <c r="P94" s="124">
        <f t="shared" si="34"/>
        <v>16.616354087756683</v>
      </c>
      <c r="Q94" s="50"/>
      <c r="R94" s="50"/>
      <c r="S94" s="50"/>
      <c r="T94" s="50"/>
      <c r="U94" s="50"/>
      <c r="V94" s="50"/>
      <c r="W94" s="50"/>
      <c r="X94" s="50"/>
      <c r="Y94" s="50"/>
      <c r="Z94" s="50"/>
    </row>
    <row r="95" spans="1:26" ht="15.75" customHeight="1" x14ac:dyDescent="0.35">
      <c r="A95" s="50"/>
      <c r="B95" s="53" t="s">
        <v>153</v>
      </c>
      <c r="C95" s="116" t="s">
        <v>94</v>
      </c>
      <c r="D95" s="80">
        <f t="shared" si="18"/>
        <v>0</v>
      </c>
      <c r="E95" s="80">
        <f t="shared" ref="E95:F95" si="35">IF(D95&gt;0,D95*(1+$D$60),(E79*E36))</f>
        <v>30.299999999999997</v>
      </c>
      <c r="F95" s="80">
        <f t="shared" si="35"/>
        <v>31.814999999999998</v>
      </c>
      <c r="G95" s="120">
        <f t="shared" ref="G95:P95" si="36">F95*(1+$D$60)</f>
        <v>33.405749999999998</v>
      </c>
      <c r="H95" s="120">
        <f t="shared" si="36"/>
        <v>35.076037499999998</v>
      </c>
      <c r="I95" s="120">
        <f t="shared" si="36"/>
        <v>36.829839374999999</v>
      </c>
      <c r="J95" s="120">
        <f t="shared" si="36"/>
        <v>38.671331343749998</v>
      </c>
      <c r="K95" s="120">
        <f t="shared" si="36"/>
        <v>40.604897910937503</v>
      </c>
      <c r="L95" s="120">
        <f t="shared" si="36"/>
        <v>42.635142806484382</v>
      </c>
      <c r="M95" s="120">
        <f t="shared" si="36"/>
        <v>44.7668999468086</v>
      </c>
      <c r="N95" s="120">
        <f t="shared" si="36"/>
        <v>47.005244944149034</v>
      </c>
      <c r="O95" s="120">
        <f t="shared" si="36"/>
        <v>49.355507191356487</v>
      </c>
      <c r="P95" s="124">
        <f t="shared" si="36"/>
        <v>51.823282550924311</v>
      </c>
      <c r="Q95" s="50"/>
      <c r="R95" s="50"/>
      <c r="S95" s="50"/>
      <c r="T95" s="50"/>
      <c r="U95" s="50"/>
      <c r="V95" s="50"/>
      <c r="W95" s="50"/>
      <c r="X95" s="50"/>
      <c r="Y95" s="50"/>
      <c r="Z95" s="50"/>
    </row>
    <row r="96" spans="1:26" ht="15.75" customHeight="1" x14ac:dyDescent="0.35">
      <c r="A96" s="50"/>
      <c r="B96" s="53" t="s">
        <v>154</v>
      </c>
      <c r="C96" s="116" t="s">
        <v>94</v>
      </c>
      <c r="D96" s="80">
        <f t="shared" si="18"/>
        <v>0</v>
      </c>
      <c r="E96" s="80">
        <f t="shared" ref="E96:F96" si="37">IF(D96&gt;0,D96*(1+$D$60),(E80*E37))</f>
        <v>0</v>
      </c>
      <c r="F96" s="80">
        <f t="shared" si="37"/>
        <v>10.201000000000001</v>
      </c>
      <c r="G96" s="120">
        <f t="shared" ref="G96:P96" si="38">F96*(1+$D$60)</f>
        <v>10.71105</v>
      </c>
      <c r="H96" s="120">
        <f t="shared" si="38"/>
        <v>11.2466025</v>
      </c>
      <c r="I96" s="120">
        <f t="shared" si="38"/>
        <v>11.808932625000001</v>
      </c>
      <c r="J96" s="120">
        <f t="shared" si="38"/>
        <v>12.39937925625</v>
      </c>
      <c r="K96" s="120">
        <f t="shared" si="38"/>
        <v>13.019348219062501</v>
      </c>
      <c r="L96" s="120">
        <f t="shared" si="38"/>
        <v>13.670315630015626</v>
      </c>
      <c r="M96" s="120">
        <f t="shared" si="38"/>
        <v>14.353831411516408</v>
      </c>
      <c r="N96" s="120">
        <f t="shared" si="38"/>
        <v>15.07152298209223</v>
      </c>
      <c r="O96" s="120">
        <f t="shared" si="38"/>
        <v>15.825099131196842</v>
      </c>
      <c r="P96" s="124">
        <f t="shared" si="38"/>
        <v>16.616354087756683</v>
      </c>
      <c r="Q96" s="50"/>
      <c r="R96" s="50"/>
      <c r="S96" s="50"/>
      <c r="T96" s="50"/>
      <c r="U96" s="50"/>
      <c r="V96" s="50"/>
      <c r="W96" s="50"/>
      <c r="X96" s="50"/>
      <c r="Y96" s="50"/>
      <c r="Z96" s="50"/>
    </row>
    <row r="97" spans="1:26" ht="15.75" customHeight="1" x14ac:dyDescent="0.35">
      <c r="A97" s="50"/>
      <c r="B97" s="53" t="s">
        <v>155</v>
      </c>
      <c r="C97" s="116" t="s">
        <v>94</v>
      </c>
      <c r="D97" s="80">
        <f t="shared" si="18"/>
        <v>0</v>
      </c>
      <c r="E97" s="80">
        <f t="shared" ref="E97:F97" si="39">IF(D97&gt;0,D97*(1+$D$60),(E81*E38))</f>
        <v>0</v>
      </c>
      <c r="F97" s="80">
        <f t="shared" si="39"/>
        <v>10.201000000000001</v>
      </c>
      <c r="G97" s="120">
        <f t="shared" ref="G97:P97" si="40">F97*(1+$D$60)</f>
        <v>10.71105</v>
      </c>
      <c r="H97" s="120">
        <f t="shared" si="40"/>
        <v>11.2466025</v>
      </c>
      <c r="I97" s="120">
        <f t="shared" si="40"/>
        <v>11.808932625000001</v>
      </c>
      <c r="J97" s="120">
        <f t="shared" si="40"/>
        <v>12.39937925625</v>
      </c>
      <c r="K97" s="120">
        <f t="shared" si="40"/>
        <v>13.019348219062501</v>
      </c>
      <c r="L97" s="120">
        <f t="shared" si="40"/>
        <v>13.670315630015626</v>
      </c>
      <c r="M97" s="120">
        <f t="shared" si="40"/>
        <v>14.353831411516408</v>
      </c>
      <c r="N97" s="120">
        <f t="shared" si="40"/>
        <v>15.07152298209223</v>
      </c>
      <c r="O97" s="120">
        <f t="shared" si="40"/>
        <v>15.825099131196842</v>
      </c>
      <c r="P97" s="124">
        <f t="shared" si="40"/>
        <v>16.616354087756683</v>
      </c>
      <c r="Q97" s="50"/>
      <c r="R97" s="50"/>
      <c r="S97" s="50"/>
      <c r="T97" s="50"/>
      <c r="U97" s="50"/>
      <c r="V97" s="50"/>
      <c r="W97" s="50"/>
      <c r="X97" s="50"/>
      <c r="Y97" s="50"/>
      <c r="Z97" s="50"/>
    </row>
    <row r="98" spans="1:26" ht="15.75" customHeight="1" x14ac:dyDescent="0.35">
      <c r="A98" s="50"/>
      <c r="B98" s="53" t="s">
        <v>156</v>
      </c>
      <c r="C98" s="116" t="s">
        <v>94</v>
      </c>
      <c r="D98" s="80">
        <f t="shared" si="18"/>
        <v>0</v>
      </c>
      <c r="E98" s="80">
        <f t="shared" ref="E98:F98" si="41">IF(D98&gt;0,D98*(1+$D$60),(E82*E39))</f>
        <v>0</v>
      </c>
      <c r="F98" s="80">
        <f t="shared" si="41"/>
        <v>10.201000000000001</v>
      </c>
      <c r="G98" s="120">
        <f t="shared" ref="G98:P98" si="42">F98*(1+$D$60)</f>
        <v>10.71105</v>
      </c>
      <c r="H98" s="120">
        <f t="shared" si="42"/>
        <v>11.2466025</v>
      </c>
      <c r="I98" s="120">
        <f t="shared" si="42"/>
        <v>11.808932625000001</v>
      </c>
      <c r="J98" s="120">
        <f t="shared" si="42"/>
        <v>12.39937925625</v>
      </c>
      <c r="K98" s="120">
        <f t="shared" si="42"/>
        <v>13.019348219062501</v>
      </c>
      <c r="L98" s="120">
        <f t="shared" si="42"/>
        <v>13.670315630015626</v>
      </c>
      <c r="M98" s="120">
        <f t="shared" si="42"/>
        <v>14.353831411516408</v>
      </c>
      <c r="N98" s="120">
        <f t="shared" si="42"/>
        <v>15.07152298209223</v>
      </c>
      <c r="O98" s="120">
        <f t="shared" si="42"/>
        <v>15.825099131196842</v>
      </c>
      <c r="P98" s="124">
        <f t="shared" si="42"/>
        <v>16.616354087756683</v>
      </c>
      <c r="Q98" s="50"/>
      <c r="R98" s="50"/>
      <c r="S98" s="50"/>
      <c r="T98" s="50"/>
      <c r="U98" s="50"/>
      <c r="V98" s="50"/>
      <c r="W98" s="50"/>
      <c r="X98" s="50"/>
      <c r="Y98" s="50"/>
      <c r="Z98" s="50"/>
    </row>
    <row r="99" spans="1:26" ht="15.75" customHeight="1" x14ac:dyDescent="0.35">
      <c r="A99" s="50"/>
      <c r="B99" s="161" t="s">
        <v>157</v>
      </c>
      <c r="C99" s="116" t="s">
        <v>94</v>
      </c>
      <c r="D99" s="80">
        <f t="shared" si="18"/>
        <v>0</v>
      </c>
      <c r="E99" s="80">
        <f t="shared" ref="E99:F99" si="43">IF(D99&gt;0,D99*(1+$D$60),(E83*E40))</f>
        <v>0</v>
      </c>
      <c r="F99" s="80">
        <f t="shared" si="43"/>
        <v>0</v>
      </c>
      <c r="G99" s="120">
        <f t="shared" ref="G99:P99" si="44">F99*(1+$D$60)</f>
        <v>0</v>
      </c>
      <c r="H99" s="120">
        <f t="shared" si="44"/>
        <v>0</v>
      </c>
      <c r="I99" s="120">
        <f t="shared" si="44"/>
        <v>0</v>
      </c>
      <c r="J99" s="120">
        <f t="shared" si="44"/>
        <v>0</v>
      </c>
      <c r="K99" s="120">
        <f t="shared" si="44"/>
        <v>0</v>
      </c>
      <c r="L99" s="120">
        <f t="shared" si="44"/>
        <v>0</v>
      </c>
      <c r="M99" s="120">
        <f t="shared" si="44"/>
        <v>0</v>
      </c>
      <c r="N99" s="120">
        <f t="shared" si="44"/>
        <v>0</v>
      </c>
      <c r="O99" s="120">
        <f t="shared" si="44"/>
        <v>0</v>
      </c>
      <c r="P99" s="124">
        <f t="shared" si="44"/>
        <v>0</v>
      </c>
      <c r="Q99" s="50"/>
      <c r="R99" s="50"/>
      <c r="S99" s="50"/>
      <c r="T99" s="50"/>
      <c r="U99" s="50"/>
      <c r="V99" s="50"/>
      <c r="W99" s="50"/>
      <c r="X99" s="50"/>
      <c r="Y99" s="50"/>
      <c r="Z99" s="50"/>
    </row>
    <row r="100" spans="1:26" ht="15.75" customHeight="1" x14ac:dyDescent="0.35">
      <c r="A100" s="50"/>
      <c r="B100" s="53" t="s">
        <v>158</v>
      </c>
      <c r="C100" s="116" t="s">
        <v>94</v>
      </c>
      <c r="D100" s="80">
        <f t="shared" si="18"/>
        <v>0</v>
      </c>
      <c r="E100" s="80">
        <f t="shared" ref="E100:F100" si="45">IF(D100&gt;0,D100*(1+$D$60),(E84*E41))</f>
        <v>0</v>
      </c>
      <c r="F100" s="80">
        <f t="shared" si="45"/>
        <v>10.201000000000001</v>
      </c>
      <c r="G100" s="120">
        <f t="shared" ref="G100:P100" si="46">F100*(1+$D$60)</f>
        <v>10.71105</v>
      </c>
      <c r="H100" s="120">
        <f t="shared" si="46"/>
        <v>11.2466025</v>
      </c>
      <c r="I100" s="120">
        <f t="shared" si="46"/>
        <v>11.808932625000001</v>
      </c>
      <c r="J100" s="120">
        <f t="shared" si="46"/>
        <v>12.39937925625</v>
      </c>
      <c r="K100" s="120">
        <f t="shared" si="46"/>
        <v>13.019348219062501</v>
      </c>
      <c r="L100" s="120">
        <f t="shared" si="46"/>
        <v>13.670315630015626</v>
      </c>
      <c r="M100" s="120">
        <f t="shared" si="46"/>
        <v>14.353831411516408</v>
      </c>
      <c r="N100" s="120">
        <f t="shared" si="46"/>
        <v>15.07152298209223</v>
      </c>
      <c r="O100" s="120">
        <f t="shared" si="46"/>
        <v>15.825099131196842</v>
      </c>
      <c r="P100" s="124">
        <f t="shared" si="46"/>
        <v>16.616354087756683</v>
      </c>
      <c r="Q100" s="50"/>
      <c r="R100" s="50"/>
      <c r="S100" s="50"/>
      <c r="T100" s="50"/>
      <c r="U100" s="50"/>
      <c r="V100" s="50"/>
      <c r="W100" s="50"/>
      <c r="X100" s="50"/>
      <c r="Y100" s="50"/>
      <c r="Z100" s="50"/>
    </row>
    <row r="101" spans="1:26" ht="15.75" customHeight="1" x14ac:dyDescent="0.35">
      <c r="A101" s="32"/>
      <c r="B101" s="58" t="s">
        <v>65</v>
      </c>
      <c r="C101" s="116" t="s">
        <v>94</v>
      </c>
      <c r="D101" s="118">
        <f t="shared" ref="D101:P101" si="47">SUM(D87:D100)</f>
        <v>20</v>
      </c>
      <c r="E101" s="118">
        <f t="shared" si="47"/>
        <v>91.699999999999989</v>
      </c>
      <c r="F101" s="118">
        <f t="shared" si="47"/>
        <v>167.69199999999995</v>
      </c>
      <c r="G101" s="118">
        <f t="shared" si="47"/>
        <v>176.07659999999998</v>
      </c>
      <c r="H101" s="118">
        <f t="shared" si="47"/>
        <v>184.88042999999996</v>
      </c>
      <c r="I101" s="118">
        <f t="shared" si="47"/>
        <v>194.12445150000005</v>
      </c>
      <c r="J101" s="118">
        <f t="shared" si="47"/>
        <v>203.83067407499999</v>
      </c>
      <c r="K101" s="118">
        <f t="shared" si="47"/>
        <v>214.02220777874996</v>
      </c>
      <c r="L101" s="118">
        <f t="shared" si="47"/>
        <v>224.72331816768758</v>
      </c>
      <c r="M101" s="118">
        <f t="shared" si="47"/>
        <v>235.95948407607193</v>
      </c>
      <c r="N101" s="118">
        <f t="shared" si="47"/>
        <v>247.75745827987555</v>
      </c>
      <c r="O101" s="118">
        <f t="shared" si="47"/>
        <v>260.14533119386931</v>
      </c>
      <c r="P101" s="118">
        <f t="shared" si="47"/>
        <v>273.15259775356282</v>
      </c>
      <c r="Q101" s="32"/>
      <c r="R101" s="32"/>
      <c r="S101" s="32"/>
      <c r="T101" s="32"/>
      <c r="U101" s="32"/>
      <c r="V101" s="32"/>
      <c r="W101" s="32"/>
      <c r="X101" s="32"/>
      <c r="Y101" s="32"/>
      <c r="Z101" s="32"/>
    </row>
    <row r="102" spans="1:26" ht="15.75" customHeight="1" x14ac:dyDescent="0.35">
      <c r="A102" s="50"/>
      <c r="B102" s="62" t="s">
        <v>135</v>
      </c>
      <c r="C102" s="54"/>
      <c r="D102" s="128"/>
      <c r="E102" s="50"/>
      <c r="F102" s="50"/>
      <c r="G102" s="50"/>
      <c r="H102" s="50"/>
      <c r="I102" s="50"/>
      <c r="J102" s="50"/>
      <c r="K102" s="50"/>
      <c r="L102" s="50"/>
      <c r="M102" s="50"/>
      <c r="N102" s="50"/>
      <c r="O102" s="50"/>
      <c r="P102" s="115"/>
      <c r="Q102" s="50"/>
      <c r="R102" s="50"/>
      <c r="S102" s="50"/>
      <c r="T102" s="50"/>
      <c r="U102" s="50"/>
      <c r="V102" s="50"/>
      <c r="W102" s="50"/>
      <c r="X102" s="50"/>
      <c r="Y102" s="50"/>
      <c r="Z102" s="50"/>
    </row>
    <row r="103" spans="1:26" ht="15.75" customHeight="1" x14ac:dyDescent="0.35">
      <c r="A103" s="50"/>
      <c r="B103" s="53" t="s">
        <v>145</v>
      </c>
      <c r="C103" s="54"/>
      <c r="D103" s="126">
        <f>'1.Red. Purch. Cost Surgical'!F44*'Red. Purch. Cost Surgical-New'!D43</f>
        <v>55.000000000000007</v>
      </c>
      <c r="E103" s="126">
        <f t="shared" ref="E103:P103" si="48">D103*(1+$D$64)</f>
        <v>55.550000000000004</v>
      </c>
      <c r="F103" s="126">
        <f t="shared" si="48"/>
        <v>56.105500000000006</v>
      </c>
      <c r="G103" s="126">
        <f t="shared" si="48"/>
        <v>56.66655500000001</v>
      </c>
      <c r="H103" s="126">
        <f t="shared" si="48"/>
        <v>57.233220550000013</v>
      </c>
      <c r="I103" s="126">
        <f t="shared" si="48"/>
        <v>57.805552755500017</v>
      </c>
      <c r="J103" s="126">
        <f t="shared" si="48"/>
        <v>58.383608283055018</v>
      </c>
      <c r="K103" s="126">
        <f t="shared" si="48"/>
        <v>58.967444365885569</v>
      </c>
      <c r="L103" s="126">
        <f t="shared" si="48"/>
        <v>59.557118809544427</v>
      </c>
      <c r="M103" s="126">
        <f t="shared" si="48"/>
        <v>60.152689997639875</v>
      </c>
      <c r="N103" s="126">
        <f t="shared" si="48"/>
        <v>60.754216897616274</v>
      </c>
      <c r="O103" s="126">
        <f t="shared" si="48"/>
        <v>61.361759066592434</v>
      </c>
      <c r="P103" s="126">
        <f t="shared" si="48"/>
        <v>61.975376657258359</v>
      </c>
      <c r="Q103" s="50"/>
      <c r="R103" s="50"/>
      <c r="S103" s="50"/>
      <c r="T103" s="50"/>
      <c r="U103" s="50"/>
      <c r="V103" s="50"/>
      <c r="W103" s="50"/>
      <c r="X103" s="50"/>
      <c r="Y103" s="50"/>
      <c r="Z103" s="50"/>
    </row>
    <row r="104" spans="1:26" ht="15.75" customHeight="1" x14ac:dyDescent="0.35">
      <c r="A104" s="50"/>
      <c r="B104" s="53" t="s">
        <v>146</v>
      </c>
      <c r="C104" s="50"/>
      <c r="D104" s="126">
        <f>'1.Red. Purch. Cost Surgical'!F45*'Red. Purch. Cost Surgical-New'!D44</f>
        <v>52</v>
      </c>
      <c r="E104" s="126">
        <f t="shared" ref="E104:P104" si="49">D104*(1+$D$64)</f>
        <v>52.52</v>
      </c>
      <c r="F104" s="126">
        <f t="shared" si="49"/>
        <v>53.045200000000001</v>
      </c>
      <c r="G104" s="126">
        <f t="shared" si="49"/>
        <v>53.575652000000005</v>
      </c>
      <c r="H104" s="126">
        <f t="shared" si="49"/>
        <v>54.111408520000005</v>
      </c>
      <c r="I104" s="126">
        <f t="shared" si="49"/>
        <v>54.652522605200005</v>
      </c>
      <c r="J104" s="126">
        <f t="shared" si="49"/>
        <v>55.199047831252003</v>
      </c>
      <c r="K104" s="126">
        <f t="shared" si="49"/>
        <v>55.751038309564521</v>
      </c>
      <c r="L104" s="126">
        <f t="shared" si="49"/>
        <v>56.308548692660167</v>
      </c>
      <c r="M104" s="126">
        <f t="shared" si="49"/>
        <v>56.871634179586771</v>
      </c>
      <c r="N104" s="126">
        <f t="shared" si="49"/>
        <v>57.440350521382641</v>
      </c>
      <c r="O104" s="126">
        <f t="shared" si="49"/>
        <v>58.014754026596471</v>
      </c>
      <c r="P104" s="126">
        <f t="shared" si="49"/>
        <v>58.594901566862433</v>
      </c>
      <c r="Q104" s="50"/>
      <c r="R104" s="50"/>
      <c r="S104" s="50"/>
      <c r="T104" s="50"/>
      <c r="U104" s="50"/>
      <c r="V104" s="50"/>
      <c r="W104" s="50"/>
      <c r="X104" s="50"/>
      <c r="Y104" s="50"/>
      <c r="Z104" s="50"/>
    </row>
    <row r="105" spans="1:26" ht="15.75" customHeight="1" x14ac:dyDescent="0.35">
      <c r="A105" s="50"/>
      <c r="B105" s="53" t="s">
        <v>147</v>
      </c>
      <c r="C105" s="50"/>
      <c r="D105" s="126">
        <f>'1.Red. Purch. Cost Surgical'!F46*'Red. Purch. Cost Surgical-New'!D45</f>
        <v>27</v>
      </c>
      <c r="E105" s="126">
        <f t="shared" ref="E105:P105" si="50">D105*(1+$D$64)</f>
        <v>27.27</v>
      </c>
      <c r="F105" s="126">
        <f t="shared" si="50"/>
        <v>27.5427</v>
      </c>
      <c r="G105" s="126">
        <f t="shared" si="50"/>
        <v>27.818127</v>
      </c>
      <c r="H105" s="126">
        <f t="shared" si="50"/>
        <v>28.096308270000002</v>
      </c>
      <c r="I105" s="126">
        <f t="shared" si="50"/>
        <v>28.377271352700003</v>
      </c>
      <c r="J105" s="126">
        <f t="shared" si="50"/>
        <v>28.661044066227003</v>
      </c>
      <c r="K105" s="126">
        <f t="shared" si="50"/>
        <v>28.947654506889272</v>
      </c>
      <c r="L105" s="126">
        <f t="shared" si="50"/>
        <v>29.237131051958166</v>
      </c>
      <c r="M105" s="126">
        <f t="shared" si="50"/>
        <v>29.529502362477746</v>
      </c>
      <c r="N105" s="126">
        <f t="shared" si="50"/>
        <v>29.824797386102524</v>
      </c>
      <c r="O105" s="126">
        <f t="shared" si="50"/>
        <v>30.123045359963548</v>
      </c>
      <c r="P105" s="126">
        <f t="shared" si="50"/>
        <v>30.424275813563185</v>
      </c>
      <c r="Q105" s="50"/>
      <c r="R105" s="50"/>
      <c r="S105" s="50"/>
      <c r="T105" s="50"/>
      <c r="U105" s="50"/>
      <c r="V105" s="50"/>
      <c r="W105" s="50"/>
      <c r="X105" s="50"/>
      <c r="Y105" s="50"/>
      <c r="Z105" s="50"/>
    </row>
    <row r="106" spans="1:26" ht="15.75" customHeight="1" x14ac:dyDescent="0.35">
      <c r="A106" s="50"/>
      <c r="B106" s="53" t="s">
        <v>148</v>
      </c>
      <c r="C106" s="50"/>
      <c r="D106" s="126">
        <f>'1.Red. Purch. Cost Surgical'!F47*'Red. Purch. Cost Surgical-New'!D46</f>
        <v>22</v>
      </c>
      <c r="E106" s="126">
        <f t="shared" ref="E106:P106" si="51">D106*(1+$D$64)</f>
        <v>22.22</v>
      </c>
      <c r="F106" s="126">
        <f t="shared" si="51"/>
        <v>22.4422</v>
      </c>
      <c r="G106" s="126">
        <f t="shared" si="51"/>
        <v>22.666622</v>
      </c>
      <c r="H106" s="126">
        <f t="shared" si="51"/>
        <v>22.893288219999999</v>
      </c>
      <c r="I106" s="126">
        <f t="shared" si="51"/>
        <v>23.122221102199997</v>
      </c>
      <c r="J106" s="126">
        <f t="shared" si="51"/>
        <v>23.353443313221998</v>
      </c>
      <c r="K106" s="126">
        <f t="shared" si="51"/>
        <v>23.586977746354219</v>
      </c>
      <c r="L106" s="126">
        <f t="shared" si="51"/>
        <v>23.82284752381776</v>
      </c>
      <c r="M106" s="126">
        <f t="shared" si="51"/>
        <v>24.061075999055937</v>
      </c>
      <c r="N106" s="126">
        <f t="shared" si="51"/>
        <v>24.301686759046497</v>
      </c>
      <c r="O106" s="126">
        <f t="shared" si="51"/>
        <v>24.544703626636963</v>
      </c>
      <c r="P106" s="126">
        <f t="shared" si="51"/>
        <v>24.790150662903333</v>
      </c>
      <c r="Q106" s="50"/>
      <c r="R106" s="50"/>
      <c r="S106" s="50"/>
      <c r="T106" s="50"/>
      <c r="U106" s="50"/>
      <c r="V106" s="50"/>
      <c r="W106" s="50"/>
      <c r="X106" s="50"/>
      <c r="Y106" s="50"/>
      <c r="Z106" s="50"/>
    </row>
    <row r="107" spans="1:26" ht="15.75" customHeight="1" x14ac:dyDescent="0.35">
      <c r="A107" s="50"/>
      <c r="B107" s="53" t="s">
        <v>149</v>
      </c>
      <c r="C107" s="50"/>
      <c r="D107" s="126">
        <f>'1.Red. Purch. Cost Surgical'!F48*'Red. Purch. Cost Surgical-New'!D47</f>
        <v>39</v>
      </c>
      <c r="E107" s="126">
        <f t="shared" ref="E107:P107" si="52">D107*(1+$D$64)</f>
        <v>39.39</v>
      </c>
      <c r="F107" s="126">
        <f t="shared" si="52"/>
        <v>39.783900000000003</v>
      </c>
      <c r="G107" s="126">
        <f t="shared" si="52"/>
        <v>40.181739</v>
      </c>
      <c r="H107" s="126">
        <f t="shared" si="52"/>
        <v>40.583556389999998</v>
      </c>
      <c r="I107" s="126">
        <f t="shared" si="52"/>
        <v>40.989391953899997</v>
      </c>
      <c r="J107" s="126">
        <f t="shared" si="52"/>
        <v>41.399285873438998</v>
      </c>
      <c r="K107" s="126">
        <f t="shared" si="52"/>
        <v>41.813278732173387</v>
      </c>
      <c r="L107" s="126">
        <f t="shared" si="52"/>
        <v>42.231411519495119</v>
      </c>
      <c r="M107" s="126">
        <f t="shared" si="52"/>
        <v>42.653725634690069</v>
      </c>
      <c r="N107" s="126">
        <f t="shared" si="52"/>
        <v>43.080262891036973</v>
      </c>
      <c r="O107" s="126">
        <f t="shared" si="52"/>
        <v>43.511065519947344</v>
      </c>
      <c r="P107" s="126">
        <f t="shared" si="52"/>
        <v>43.946176175146817</v>
      </c>
      <c r="Q107" s="50"/>
      <c r="R107" s="50"/>
      <c r="S107" s="50"/>
      <c r="T107" s="50"/>
      <c r="U107" s="50"/>
      <c r="V107" s="50"/>
      <c r="W107" s="50"/>
      <c r="X107" s="50"/>
      <c r="Y107" s="50"/>
      <c r="Z107" s="50"/>
    </row>
    <row r="108" spans="1:26" ht="15.75" customHeight="1" x14ac:dyDescent="0.35">
      <c r="A108" s="50"/>
      <c r="B108" s="53" t="s">
        <v>150</v>
      </c>
      <c r="C108" s="50"/>
      <c r="D108" s="126">
        <f>'1.Red. Purch. Cost Surgical'!F49*'Red. Purch. Cost Surgical-New'!D48</f>
        <v>54</v>
      </c>
      <c r="E108" s="126">
        <f t="shared" ref="E108:P108" si="53">D108*(1+$D$64)</f>
        <v>54.54</v>
      </c>
      <c r="F108" s="126">
        <f t="shared" si="53"/>
        <v>55.0854</v>
      </c>
      <c r="G108" s="126">
        <f t="shared" si="53"/>
        <v>55.636254000000001</v>
      </c>
      <c r="H108" s="126">
        <f t="shared" si="53"/>
        <v>56.192616540000003</v>
      </c>
      <c r="I108" s="126">
        <f t="shared" si="53"/>
        <v>56.754542705400006</v>
      </c>
      <c r="J108" s="126">
        <f t="shared" si="53"/>
        <v>57.322088132454006</v>
      </c>
      <c r="K108" s="126">
        <f t="shared" si="53"/>
        <v>57.895309013778544</v>
      </c>
      <c r="L108" s="126">
        <f t="shared" si="53"/>
        <v>58.474262103916331</v>
      </c>
      <c r="M108" s="126">
        <f t="shared" si="53"/>
        <v>59.059004724955493</v>
      </c>
      <c r="N108" s="126">
        <f t="shared" si="53"/>
        <v>59.649594772205049</v>
      </c>
      <c r="O108" s="126">
        <f t="shared" si="53"/>
        <v>60.246090719927096</v>
      </c>
      <c r="P108" s="126">
        <f t="shared" si="53"/>
        <v>60.848551627126369</v>
      </c>
      <c r="Q108" s="50"/>
      <c r="R108" s="50"/>
      <c r="S108" s="50"/>
      <c r="T108" s="50"/>
      <c r="U108" s="50"/>
      <c r="V108" s="50"/>
      <c r="W108" s="50"/>
      <c r="X108" s="50"/>
      <c r="Y108" s="50"/>
      <c r="Z108" s="50"/>
    </row>
    <row r="109" spans="1:26" ht="15.75" customHeight="1" x14ac:dyDescent="0.35">
      <c r="A109" s="50"/>
      <c r="B109" s="53" t="s">
        <v>151</v>
      </c>
      <c r="C109" s="50"/>
      <c r="D109" s="126">
        <f>'1.Red. Purch. Cost Surgical'!F50*'Red. Purch. Cost Surgical-New'!D49</f>
        <v>57.999999999999993</v>
      </c>
      <c r="E109" s="126">
        <f t="shared" ref="E109:P109" si="54">D109*(1+$D$64)</f>
        <v>58.579999999999991</v>
      </c>
      <c r="F109" s="126">
        <f t="shared" si="54"/>
        <v>59.16579999999999</v>
      </c>
      <c r="G109" s="126">
        <f t="shared" si="54"/>
        <v>59.757457999999993</v>
      </c>
      <c r="H109" s="126">
        <f t="shared" si="54"/>
        <v>60.355032579999992</v>
      </c>
      <c r="I109" s="126">
        <f t="shared" si="54"/>
        <v>60.958582905799993</v>
      </c>
      <c r="J109" s="126">
        <f t="shared" si="54"/>
        <v>61.568168734857991</v>
      </c>
      <c r="K109" s="126">
        <f t="shared" si="54"/>
        <v>62.183850422206575</v>
      </c>
      <c r="L109" s="126">
        <f t="shared" si="54"/>
        <v>62.805688926428644</v>
      </c>
      <c r="M109" s="126">
        <f t="shared" si="54"/>
        <v>63.43374581569293</v>
      </c>
      <c r="N109" s="126">
        <f t="shared" si="54"/>
        <v>64.068083273849865</v>
      </c>
      <c r="O109" s="126">
        <f t="shared" si="54"/>
        <v>64.708764106588362</v>
      </c>
      <c r="P109" s="126">
        <f t="shared" si="54"/>
        <v>65.355851747654242</v>
      </c>
      <c r="Q109" s="50"/>
      <c r="R109" s="50"/>
      <c r="S109" s="50"/>
      <c r="T109" s="50"/>
      <c r="U109" s="50"/>
      <c r="V109" s="50"/>
      <c r="W109" s="50"/>
      <c r="X109" s="50"/>
      <c r="Y109" s="50"/>
      <c r="Z109" s="50"/>
    </row>
    <row r="110" spans="1:26" ht="15.75" customHeight="1" x14ac:dyDescent="0.35">
      <c r="A110" s="50"/>
      <c r="B110" s="53" t="s">
        <v>152</v>
      </c>
      <c r="C110" s="47"/>
      <c r="D110" s="126">
        <f>'1.Red. Purch. Cost Surgical'!F51*'Red. Purch. Cost Surgical-New'!D50</f>
        <v>22</v>
      </c>
      <c r="E110" s="126">
        <f t="shared" ref="E110:P110" si="55">D110*(1+$D$64)</f>
        <v>22.22</v>
      </c>
      <c r="F110" s="126">
        <f t="shared" si="55"/>
        <v>22.4422</v>
      </c>
      <c r="G110" s="126">
        <f t="shared" si="55"/>
        <v>22.666622</v>
      </c>
      <c r="H110" s="126">
        <f t="shared" si="55"/>
        <v>22.893288219999999</v>
      </c>
      <c r="I110" s="126">
        <f t="shared" si="55"/>
        <v>23.122221102199997</v>
      </c>
      <c r="J110" s="126">
        <f t="shared" si="55"/>
        <v>23.353443313221998</v>
      </c>
      <c r="K110" s="126">
        <f t="shared" si="55"/>
        <v>23.586977746354219</v>
      </c>
      <c r="L110" s="126">
        <f t="shared" si="55"/>
        <v>23.82284752381776</v>
      </c>
      <c r="M110" s="126">
        <f t="shared" si="55"/>
        <v>24.061075999055937</v>
      </c>
      <c r="N110" s="126">
        <f t="shared" si="55"/>
        <v>24.301686759046497</v>
      </c>
      <c r="O110" s="126">
        <f t="shared" si="55"/>
        <v>24.544703626636963</v>
      </c>
      <c r="P110" s="126">
        <f t="shared" si="55"/>
        <v>24.790150662903333</v>
      </c>
      <c r="Q110" s="50"/>
      <c r="R110" s="50"/>
      <c r="S110" s="50"/>
      <c r="T110" s="50"/>
      <c r="U110" s="50"/>
      <c r="V110" s="50"/>
      <c r="W110" s="50"/>
      <c r="X110" s="50"/>
      <c r="Y110" s="50"/>
      <c r="Z110" s="50"/>
    </row>
    <row r="111" spans="1:26" ht="15.75" customHeight="1" x14ac:dyDescent="0.35">
      <c r="A111" s="50"/>
      <c r="B111" s="53" t="s">
        <v>153</v>
      </c>
      <c r="C111" s="47"/>
      <c r="D111" s="126">
        <f>'1.Red. Purch. Cost Surgical'!F52*'Red. Purch. Cost Surgical-New'!D51</f>
        <v>15</v>
      </c>
      <c r="E111" s="126">
        <f t="shared" ref="E111:P111" si="56">D111*(1+$D$64)</f>
        <v>15.15</v>
      </c>
      <c r="F111" s="126">
        <f t="shared" si="56"/>
        <v>15.301500000000001</v>
      </c>
      <c r="G111" s="126">
        <f t="shared" si="56"/>
        <v>15.454515000000001</v>
      </c>
      <c r="H111" s="126">
        <f t="shared" si="56"/>
        <v>15.609060150000001</v>
      </c>
      <c r="I111" s="126">
        <f t="shared" si="56"/>
        <v>15.765150751500002</v>
      </c>
      <c r="J111" s="126">
        <f t="shared" si="56"/>
        <v>15.922802259015002</v>
      </c>
      <c r="K111" s="126">
        <f t="shared" si="56"/>
        <v>16.082030281605153</v>
      </c>
      <c r="L111" s="126">
        <f t="shared" si="56"/>
        <v>16.242850584421205</v>
      </c>
      <c r="M111" s="126">
        <f t="shared" si="56"/>
        <v>16.405279090265417</v>
      </c>
      <c r="N111" s="126">
        <f t="shared" si="56"/>
        <v>16.569331881168072</v>
      </c>
      <c r="O111" s="126">
        <f t="shared" si="56"/>
        <v>16.735025199979752</v>
      </c>
      <c r="P111" s="126">
        <f t="shared" si="56"/>
        <v>16.902375451979548</v>
      </c>
      <c r="Q111" s="50"/>
      <c r="R111" s="50"/>
      <c r="S111" s="50"/>
      <c r="T111" s="50"/>
      <c r="U111" s="50"/>
      <c r="V111" s="50"/>
      <c r="W111" s="50"/>
      <c r="X111" s="50"/>
      <c r="Y111" s="50"/>
      <c r="Z111" s="50"/>
    </row>
    <row r="112" spans="1:26" ht="15.75" customHeight="1" x14ac:dyDescent="0.35">
      <c r="A112" s="50"/>
      <c r="B112" s="53" t="s">
        <v>154</v>
      </c>
      <c r="C112" s="47"/>
      <c r="D112" s="126">
        <f>'1.Red. Purch. Cost Surgical'!F53*'Red. Purch. Cost Surgical-New'!D52</f>
        <v>22</v>
      </c>
      <c r="E112" s="126">
        <f t="shared" ref="E112:P112" si="57">D112*(1+$D$64)</f>
        <v>22.22</v>
      </c>
      <c r="F112" s="126">
        <f t="shared" si="57"/>
        <v>22.4422</v>
      </c>
      <c r="G112" s="126">
        <f t="shared" si="57"/>
        <v>22.666622</v>
      </c>
      <c r="H112" s="126">
        <f t="shared" si="57"/>
        <v>22.893288219999999</v>
      </c>
      <c r="I112" s="126">
        <f t="shared" si="57"/>
        <v>23.122221102199997</v>
      </c>
      <c r="J112" s="126">
        <f t="shared" si="57"/>
        <v>23.353443313221998</v>
      </c>
      <c r="K112" s="126">
        <f t="shared" si="57"/>
        <v>23.586977746354219</v>
      </c>
      <c r="L112" s="126">
        <f t="shared" si="57"/>
        <v>23.82284752381776</v>
      </c>
      <c r="M112" s="126">
        <f t="shared" si="57"/>
        <v>24.061075999055937</v>
      </c>
      <c r="N112" s="126">
        <f t="shared" si="57"/>
        <v>24.301686759046497</v>
      </c>
      <c r="O112" s="126">
        <f t="shared" si="57"/>
        <v>24.544703626636963</v>
      </c>
      <c r="P112" s="126">
        <f t="shared" si="57"/>
        <v>24.790150662903333</v>
      </c>
      <c r="Q112" s="50"/>
      <c r="R112" s="50"/>
      <c r="S112" s="50"/>
      <c r="T112" s="50"/>
      <c r="U112" s="50"/>
      <c r="V112" s="50"/>
      <c r="W112" s="50"/>
      <c r="X112" s="50"/>
      <c r="Y112" s="50"/>
      <c r="Z112" s="50"/>
    </row>
    <row r="113" spans="1:26" ht="15.75" customHeight="1" x14ac:dyDescent="0.35">
      <c r="A113" s="50"/>
      <c r="B113" s="53" t="s">
        <v>155</v>
      </c>
      <c r="C113" s="47"/>
      <c r="D113" s="126">
        <f>'1.Red. Purch. Cost Surgical'!F54*'Red. Purch. Cost Surgical-New'!D53</f>
        <v>22</v>
      </c>
      <c r="E113" s="126">
        <f t="shared" ref="E113:P113" si="58">D113*(1+$D$64)</f>
        <v>22.22</v>
      </c>
      <c r="F113" s="126">
        <f t="shared" si="58"/>
        <v>22.4422</v>
      </c>
      <c r="G113" s="126">
        <f t="shared" si="58"/>
        <v>22.666622</v>
      </c>
      <c r="H113" s="126">
        <f t="shared" si="58"/>
        <v>22.893288219999999</v>
      </c>
      <c r="I113" s="126">
        <f t="shared" si="58"/>
        <v>23.122221102199997</v>
      </c>
      <c r="J113" s="126">
        <f t="shared" si="58"/>
        <v>23.353443313221998</v>
      </c>
      <c r="K113" s="126">
        <f t="shared" si="58"/>
        <v>23.586977746354219</v>
      </c>
      <c r="L113" s="126">
        <f t="shared" si="58"/>
        <v>23.82284752381776</v>
      </c>
      <c r="M113" s="126">
        <f t="shared" si="58"/>
        <v>24.061075999055937</v>
      </c>
      <c r="N113" s="126">
        <f t="shared" si="58"/>
        <v>24.301686759046497</v>
      </c>
      <c r="O113" s="126">
        <f t="shared" si="58"/>
        <v>24.544703626636963</v>
      </c>
      <c r="P113" s="126">
        <f t="shared" si="58"/>
        <v>24.790150662903333</v>
      </c>
      <c r="Q113" s="50"/>
      <c r="R113" s="50"/>
      <c r="S113" s="50"/>
      <c r="T113" s="50"/>
      <c r="U113" s="50"/>
      <c r="V113" s="50"/>
      <c r="W113" s="50"/>
      <c r="X113" s="50"/>
      <c r="Y113" s="50"/>
      <c r="Z113" s="50"/>
    </row>
    <row r="114" spans="1:26" ht="15.75" customHeight="1" x14ac:dyDescent="0.35">
      <c r="A114" s="50"/>
      <c r="B114" s="53" t="s">
        <v>156</v>
      </c>
      <c r="C114" s="47"/>
      <c r="D114" s="126">
        <f>'1.Red. Purch. Cost Surgical'!F55*'Red. Purch. Cost Surgical-New'!D54</f>
        <v>22</v>
      </c>
      <c r="E114" s="126">
        <f t="shared" ref="E114:P114" si="59">D114*(1+$D$64)</f>
        <v>22.22</v>
      </c>
      <c r="F114" s="126">
        <f t="shared" si="59"/>
        <v>22.4422</v>
      </c>
      <c r="G114" s="126">
        <f t="shared" si="59"/>
        <v>22.666622</v>
      </c>
      <c r="H114" s="126">
        <f t="shared" si="59"/>
        <v>22.893288219999999</v>
      </c>
      <c r="I114" s="126">
        <f t="shared" si="59"/>
        <v>23.122221102199997</v>
      </c>
      <c r="J114" s="126">
        <f t="shared" si="59"/>
        <v>23.353443313221998</v>
      </c>
      <c r="K114" s="126">
        <f t="shared" si="59"/>
        <v>23.586977746354219</v>
      </c>
      <c r="L114" s="126">
        <f t="shared" si="59"/>
        <v>23.82284752381776</v>
      </c>
      <c r="M114" s="126">
        <f t="shared" si="59"/>
        <v>24.061075999055937</v>
      </c>
      <c r="N114" s="126">
        <f t="shared" si="59"/>
        <v>24.301686759046497</v>
      </c>
      <c r="O114" s="126">
        <f t="shared" si="59"/>
        <v>24.544703626636963</v>
      </c>
      <c r="P114" s="126">
        <f t="shared" si="59"/>
        <v>24.790150662903333</v>
      </c>
      <c r="Q114" s="50"/>
      <c r="R114" s="50"/>
      <c r="S114" s="50"/>
      <c r="T114" s="50"/>
      <c r="U114" s="50"/>
      <c r="V114" s="50"/>
      <c r="W114" s="50"/>
      <c r="X114" s="50"/>
      <c r="Y114" s="50"/>
      <c r="Z114" s="50"/>
    </row>
    <row r="115" spans="1:26" ht="15.75" customHeight="1" x14ac:dyDescent="0.35">
      <c r="A115" s="50"/>
      <c r="B115" s="161" t="s">
        <v>157</v>
      </c>
      <c r="C115" s="47"/>
      <c r="D115" s="126">
        <f>'1.Red. Purch. Cost Surgical'!F56*'Red. Purch. Cost Surgical-New'!D55</f>
        <v>22</v>
      </c>
      <c r="E115" s="126">
        <f t="shared" ref="E115:P115" si="60">D115*(1+$D$64)</f>
        <v>22.22</v>
      </c>
      <c r="F115" s="126">
        <f t="shared" si="60"/>
        <v>22.4422</v>
      </c>
      <c r="G115" s="126">
        <f t="shared" si="60"/>
        <v>22.666622</v>
      </c>
      <c r="H115" s="126">
        <f t="shared" si="60"/>
        <v>22.893288219999999</v>
      </c>
      <c r="I115" s="126">
        <f t="shared" si="60"/>
        <v>23.122221102199997</v>
      </c>
      <c r="J115" s="126">
        <f t="shared" si="60"/>
        <v>23.353443313221998</v>
      </c>
      <c r="K115" s="126">
        <f t="shared" si="60"/>
        <v>23.586977746354219</v>
      </c>
      <c r="L115" s="126">
        <f t="shared" si="60"/>
        <v>23.82284752381776</v>
      </c>
      <c r="M115" s="126">
        <f t="shared" si="60"/>
        <v>24.061075999055937</v>
      </c>
      <c r="N115" s="126">
        <f t="shared" si="60"/>
        <v>24.301686759046497</v>
      </c>
      <c r="O115" s="126">
        <f t="shared" si="60"/>
        <v>24.544703626636963</v>
      </c>
      <c r="P115" s="126">
        <f t="shared" si="60"/>
        <v>24.790150662903333</v>
      </c>
      <c r="Q115" s="50"/>
      <c r="R115" s="50"/>
      <c r="S115" s="50"/>
      <c r="T115" s="50"/>
      <c r="U115" s="50"/>
      <c r="V115" s="50"/>
      <c r="W115" s="50"/>
      <c r="X115" s="50"/>
      <c r="Y115" s="50"/>
      <c r="Z115" s="50"/>
    </row>
    <row r="116" spans="1:26" ht="15.75" customHeight="1" x14ac:dyDescent="0.35">
      <c r="A116" s="50"/>
      <c r="B116" s="53" t="s">
        <v>158</v>
      </c>
      <c r="C116" s="47"/>
      <c r="D116" s="126">
        <f>'1.Red. Purch. Cost Surgical'!F57*'Red. Purch. Cost Surgical-New'!D56</f>
        <v>22</v>
      </c>
      <c r="E116" s="126">
        <f t="shared" ref="E116:P116" si="61">D116*(1+$D$64)</f>
        <v>22.22</v>
      </c>
      <c r="F116" s="126">
        <f t="shared" si="61"/>
        <v>22.4422</v>
      </c>
      <c r="G116" s="126">
        <f t="shared" si="61"/>
        <v>22.666622</v>
      </c>
      <c r="H116" s="126">
        <f t="shared" si="61"/>
        <v>22.893288219999999</v>
      </c>
      <c r="I116" s="126">
        <f t="shared" si="61"/>
        <v>23.122221102199997</v>
      </c>
      <c r="J116" s="126">
        <f t="shared" si="61"/>
        <v>23.353443313221998</v>
      </c>
      <c r="K116" s="126">
        <f t="shared" si="61"/>
        <v>23.586977746354219</v>
      </c>
      <c r="L116" s="126">
        <f t="shared" si="61"/>
        <v>23.82284752381776</v>
      </c>
      <c r="M116" s="126">
        <f t="shared" si="61"/>
        <v>24.061075999055937</v>
      </c>
      <c r="N116" s="126">
        <f t="shared" si="61"/>
        <v>24.301686759046497</v>
      </c>
      <c r="O116" s="126">
        <f t="shared" si="61"/>
        <v>24.544703626636963</v>
      </c>
      <c r="P116" s="126">
        <f t="shared" si="61"/>
        <v>24.790150662903333</v>
      </c>
      <c r="Q116" s="50"/>
      <c r="R116" s="50"/>
      <c r="S116" s="50"/>
      <c r="T116" s="50"/>
      <c r="U116" s="50"/>
      <c r="V116" s="50"/>
      <c r="W116" s="50"/>
      <c r="X116" s="50"/>
      <c r="Y116" s="50"/>
      <c r="Z116" s="50"/>
    </row>
    <row r="117" spans="1:26" ht="15.75" customHeight="1" x14ac:dyDescent="0.35">
      <c r="A117" s="50"/>
      <c r="B117" s="46" t="s">
        <v>236</v>
      </c>
      <c r="C117" s="47"/>
      <c r="D117" s="120"/>
      <c r="E117" s="120"/>
      <c r="F117" s="120"/>
      <c r="G117" s="120"/>
      <c r="H117" s="120"/>
      <c r="I117" s="120"/>
      <c r="J117" s="120"/>
      <c r="K117" s="120"/>
      <c r="L117" s="120"/>
      <c r="M117" s="120"/>
      <c r="N117" s="50"/>
      <c r="O117" s="50"/>
      <c r="P117" s="115"/>
      <c r="Q117" s="50"/>
      <c r="R117" s="50"/>
      <c r="S117" s="50"/>
      <c r="T117" s="50"/>
      <c r="U117" s="50"/>
      <c r="V117" s="50"/>
      <c r="W117" s="50"/>
      <c r="X117" s="50"/>
      <c r="Y117" s="50"/>
      <c r="Z117" s="50"/>
    </row>
    <row r="118" spans="1:26" ht="15.75" customHeight="1" x14ac:dyDescent="0.35">
      <c r="A118" s="50"/>
      <c r="B118" s="53" t="s">
        <v>145</v>
      </c>
      <c r="C118" s="47"/>
      <c r="D118" s="64">
        <f t="shared" ref="D118:P118" si="62">IFERROR(D87*D103,"")</f>
        <v>550.00000000000011</v>
      </c>
      <c r="E118" s="64">
        <f t="shared" si="62"/>
        <v>583.27500000000009</v>
      </c>
      <c r="F118" s="64">
        <f t="shared" si="62"/>
        <v>618.56313750000004</v>
      </c>
      <c r="G118" s="64">
        <f t="shared" si="62"/>
        <v>655.98620731875019</v>
      </c>
      <c r="H118" s="64">
        <f t="shared" si="62"/>
        <v>695.67337286153463</v>
      </c>
      <c r="I118" s="64">
        <f t="shared" si="62"/>
        <v>737.76161191965753</v>
      </c>
      <c r="J118" s="64">
        <f t="shared" si="62"/>
        <v>782.39618944079689</v>
      </c>
      <c r="K118" s="64">
        <f t="shared" si="62"/>
        <v>829.73115890196516</v>
      </c>
      <c r="L118" s="64">
        <f t="shared" si="62"/>
        <v>879.92989401553416</v>
      </c>
      <c r="M118" s="64">
        <f t="shared" si="62"/>
        <v>933.16565260347409</v>
      </c>
      <c r="N118" s="64">
        <f t="shared" si="62"/>
        <v>989.62217458598423</v>
      </c>
      <c r="O118" s="64">
        <f t="shared" si="62"/>
        <v>1049.4943161484364</v>
      </c>
      <c r="P118" s="64">
        <f t="shared" si="62"/>
        <v>1112.9887222754166</v>
      </c>
      <c r="Q118" s="50"/>
      <c r="R118" s="50"/>
      <c r="S118" s="50"/>
      <c r="T118" s="50"/>
      <c r="U118" s="50"/>
      <c r="V118" s="50"/>
      <c r="W118" s="50"/>
      <c r="X118" s="50"/>
      <c r="Y118" s="50"/>
      <c r="Z118" s="50"/>
    </row>
    <row r="119" spans="1:26" ht="15.75" customHeight="1" x14ac:dyDescent="0.35">
      <c r="A119" s="50"/>
      <c r="B119" s="53" t="s">
        <v>146</v>
      </c>
      <c r="C119" s="47"/>
      <c r="D119" s="64">
        <f t="shared" ref="D119:P119" si="63">IFERROR(D88*D104,"")</f>
        <v>520</v>
      </c>
      <c r="E119" s="64">
        <f t="shared" si="63"/>
        <v>551.46</v>
      </c>
      <c r="F119" s="64">
        <f t="shared" si="63"/>
        <v>584.82333000000006</v>
      </c>
      <c r="G119" s="64">
        <f t="shared" si="63"/>
        <v>620.20514146500011</v>
      </c>
      <c r="H119" s="64">
        <f t="shared" si="63"/>
        <v>657.72755252363265</v>
      </c>
      <c r="I119" s="64">
        <f t="shared" si="63"/>
        <v>697.52006945131245</v>
      </c>
      <c r="J119" s="64">
        <f t="shared" si="63"/>
        <v>739.72003365311684</v>
      </c>
      <c r="K119" s="64">
        <f t="shared" si="63"/>
        <v>784.47309568913045</v>
      </c>
      <c r="L119" s="64">
        <f t="shared" si="63"/>
        <v>831.93371797832299</v>
      </c>
      <c r="M119" s="64">
        <f t="shared" si="63"/>
        <v>882.26570791601159</v>
      </c>
      <c r="N119" s="64">
        <f t="shared" si="63"/>
        <v>935.64278324493023</v>
      </c>
      <c r="O119" s="64">
        <f t="shared" si="63"/>
        <v>992.24917163124871</v>
      </c>
      <c r="P119" s="64">
        <f t="shared" si="63"/>
        <v>1052.2802465149391</v>
      </c>
      <c r="Q119" s="50"/>
      <c r="R119" s="50"/>
      <c r="S119" s="50"/>
      <c r="T119" s="50"/>
      <c r="U119" s="50"/>
      <c r="V119" s="50"/>
      <c r="W119" s="50"/>
      <c r="X119" s="50"/>
      <c r="Y119" s="50"/>
      <c r="Z119" s="50"/>
    </row>
    <row r="120" spans="1:26" ht="15.75" customHeight="1" x14ac:dyDescent="0.35">
      <c r="A120" s="50"/>
      <c r="B120" s="53" t="s">
        <v>147</v>
      </c>
      <c r="C120" s="47"/>
      <c r="D120" s="64">
        <f t="shared" ref="D120:P120" si="64">IFERROR(D89*D105,"")</f>
        <v>0</v>
      </c>
      <c r="E120" s="64">
        <f t="shared" si="64"/>
        <v>275.42699999999996</v>
      </c>
      <c r="F120" s="64">
        <f t="shared" si="64"/>
        <v>292.09033349999999</v>
      </c>
      <c r="G120" s="64">
        <f t="shared" si="64"/>
        <v>309.76179867675006</v>
      </c>
      <c r="H120" s="64">
        <f t="shared" si="64"/>
        <v>328.50238749669347</v>
      </c>
      <c r="I120" s="64">
        <f t="shared" si="64"/>
        <v>348.3767819402434</v>
      </c>
      <c r="J120" s="64">
        <f t="shared" si="64"/>
        <v>369.45357724762817</v>
      </c>
      <c r="K120" s="64">
        <f t="shared" si="64"/>
        <v>391.80551867110967</v>
      </c>
      <c r="L120" s="64">
        <f t="shared" si="64"/>
        <v>415.50975255071188</v>
      </c>
      <c r="M120" s="64">
        <f t="shared" si="64"/>
        <v>440.64809258002992</v>
      </c>
      <c r="N120" s="64">
        <f t="shared" si="64"/>
        <v>467.30730218112177</v>
      </c>
      <c r="O120" s="64">
        <f t="shared" si="64"/>
        <v>495.57939396307967</v>
      </c>
      <c r="P120" s="64">
        <f t="shared" si="64"/>
        <v>525.56194729784602</v>
      </c>
      <c r="Q120" s="50"/>
      <c r="R120" s="50"/>
      <c r="S120" s="50"/>
      <c r="T120" s="50"/>
      <c r="U120" s="50"/>
      <c r="V120" s="50"/>
      <c r="W120" s="50"/>
      <c r="X120" s="50"/>
      <c r="Y120" s="50"/>
      <c r="Z120" s="50"/>
    </row>
    <row r="121" spans="1:26" ht="15.75" customHeight="1" x14ac:dyDescent="0.35">
      <c r="A121" s="50"/>
      <c r="B121" s="53" t="s">
        <v>148</v>
      </c>
      <c r="C121" s="47"/>
      <c r="D121" s="64">
        <f t="shared" ref="D121:P121" si="65">IFERROR(D90*D106,"")</f>
        <v>0</v>
      </c>
      <c r="E121" s="64">
        <f t="shared" si="65"/>
        <v>673.26599999999985</v>
      </c>
      <c r="F121" s="64">
        <f t="shared" si="65"/>
        <v>713.99859299999991</v>
      </c>
      <c r="G121" s="64">
        <f t="shared" si="65"/>
        <v>757.19550787649996</v>
      </c>
      <c r="H121" s="64">
        <f t="shared" si="65"/>
        <v>803.00583610302817</v>
      </c>
      <c r="I121" s="64">
        <f t="shared" si="65"/>
        <v>851.58768918726139</v>
      </c>
      <c r="J121" s="64">
        <f t="shared" si="65"/>
        <v>903.10874438309065</v>
      </c>
      <c r="K121" s="64">
        <f t="shared" si="65"/>
        <v>957.74682341826781</v>
      </c>
      <c r="L121" s="64">
        <f t="shared" si="65"/>
        <v>1015.690506235073</v>
      </c>
      <c r="M121" s="64">
        <f t="shared" si="65"/>
        <v>1077.139781862295</v>
      </c>
      <c r="N121" s="64">
        <f t="shared" si="65"/>
        <v>1142.3067386649639</v>
      </c>
      <c r="O121" s="64">
        <f t="shared" si="65"/>
        <v>1211.4162963541942</v>
      </c>
      <c r="P121" s="64">
        <f t="shared" si="65"/>
        <v>1284.7069822836231</v>
      </c>
      <c r="Q121" s="50"/>
      <c r="R121" s="50"/>
      <c r="S121" s="50"/>
      <c r="T121" s="50"/>
      <c r="U121" s="50"/>
      <c r="V121" s="50"/>
      <c r="W121" s="50"/>
      <c r="X121" s="50"/>
      <c r="Y121" s="50"/>
      <c r="Z121" s="50"/>
    </row>
    <row r="122" spans="1:26" ht="15.75" customHeight="1" x14ac:dyDescent="0.35">
      <c r="A122" s="50"/>
      <c r="B122" s="53" t="s">
        <v>149</v>
      </c>
      <c r="C122" s="47"/>
      <c r="D122" s="64">
        <f t="shared" ref="D122:P122" si="66">IFERROR(D91*D107,"")</f>
        <v>0</v>
      </c>
      <c r="E122" s="64">
        <f t="shared" si="66"/>
        <v>0</v>
      </c>
      <c r="F122" s="64">
        <f t="shared" si="66"/>
        <v>0</v>
      </c>
      <c r="G122" s="64">
        <f t="shared" si="66"/>
        <v>0</v>
      </c>
      <c r="H122" s="64">
        <f t="shared" si="66"/>
        <v>0</v>
      </c>
      <c r="I122" s="64">
        <f t="shared" si="66"/>
        <v>0</v>
      </c>
      <c r="J122" s="64">
        <f t="shared" si="66"/>
        <v>0</v>
      </c>
      <c r="K122" s="64">
        <f t="shared" si="66"/>
        <v>0</v>
      </c>
      <c r="L122" s="64">
        <f t="shared" si="66"/>
        <v>0</v>
      </c>
      <c r="M122" s="64">
        <f t="shared" si="66"/>
        <v>0</v>
      </c>
      <c r="N122" s="64">
        <f t="shared" si="66"/>
        <v>0</v>
      </c>
      <c r="O122" s="64">
        <f t="shared" si="66"/>
        <v>0</v>
      </c>
      <c r="P122" s="64">
        <f t="shared" si="66"/>
        <v>0</v>
      </c>
      <c r="Q122" s="50"/>
      <c r="R122" s="50"/>
      <c r="S122" s="50"/>
      <c r="T122" s="50"/>
      <c r="U122" s="50"/>
      <c r="V122" s="50"/>
      <c r="W122" s="50"/>
      <c r="X122" s="50"/>
      <c r="Y122" s="50"/>
      <c r="Z122" s="50"/>
    </row>
    <row r="123" spans="1:26" ht="15.75" customHeight="1" x14ac:dyDescent="0.35">
      <c r="A123" s="50"/>
      <c r="B123" s="53" t="s">
        <v>150</v>
      </c>
      <c r="C123" s="47"/>
      <c r="D123" s="64">
        <f t="shared" ref="D123:P123" si="67">IFERROR(D92*D108,"")</f>
        <v>0</v>
      </c>
      <c r="E123" s="64">
        <f t="shared" si="67"/>
        <v>0</v>
      </c>
      <c r="F123" s="64">
        <f t="shared" si="67"/>
        <v>561.92616540000006</v>
      </c>
      <c r="G123" s="64">
        <f t="shared" si="67"/>
        <v>595.92269840669996</v>
      </c>
      <c r="H123" s="64">
        <f t="shared" si="67"/>
        <v>631.97602166030538</v>
      </c>
      <c r="I123" s="64">
        <f t="shared" si="67"/>
        <v>670.21057097075391</v>
      </c>
      <c r="J123" s="64">
        <f t="shared" si="67"/>
        <v>710.75831051448449</v>
      </c>
      <c r="K123" s="64">
        <f t="shared" si="67"/>
        <v>753.75918830061084</v>
      </c>
      <c r="L123" s="64">
        <f t="shared" si="67"/>
        <v>799.36161919279778</v>
      </c>
      <c r="M123" s="64">
        <f t="shared" si="67"/>
        <v>847.72299715396207</v>
      </c>
      <c r="N123" s="64">
        <f t="shared" si="67"/>
        <v>899.01023848177692</v>
      </c>
      <c r="O123" s="64">
        <f t="shared" si="67"/>
        <v>953.40035790992442</v>
      </c>
      <c r="P123" s="64">
        <f t="shared" si="67"/>
        <v>1011.0810795634748</v>
      </c>
      <c r="Q123" s="50"/>
      <c r="R123" s="50"/>
      <c r="S123" s="50"/>
      <c r="T123" s="50"/>
      <c r="U123" s="50"/>
      <c r="V123" s="50"/>
      <c r="W123" s="50"/>
      <c r="X123" s="50"/>
      <c r="Y123" s="50"/>
      <c r="Z123" s="50"/>
    </row>
    <row r="124" spans="1:26" ht="15.75" customHeight="1" x14ac:dyDescent="0.35">
      <c r="A124" s="50"/>
      <c r="B124" s="53" t="s">
        <v>151</v>
      </c>
      <c r="C124" s="47"/>
      <c r="D124" s="64">
        <f t="shared" ref="D124:P124" si="68">IFERROR(D93*D109,"")</f>
        <v>0</v>
      </c>
      <c r="E124" s="64">
        <f t="shared" si="68"/>
        <v>0</v>
      </c>
      <c r="F124" s="64">
        <f t="shared" si="68"/>
        <v>603.55032579999988</v>
      </c>
      <c r="G124" s="64">
        <f t="shared" si="68"/>
        <v>640.06512051089999</v>
      </c>
      <c r="H124" s="64">
        <f t="shared" si="68"/>
        <v>678.7890603018094</v>
      </c>
      <c r="I124" s="64">
        <f t="shared" si="68"/>
        <v>719.85579845006885</v>
      </c>
      <c r="J124" s="64">
        <f t="shared" si="68"/>
        <v>763.40707425629796</v>
      </c>
      <c r="K124" s="64">
        <f t="shared" si="68"/>
        <v>809.59320224880412</v>
      </c>
      <c r="L124" s="64">
        <f t="shared" si="68"/>
        <v>858.57359098485676</v>
      </c>
      <c r="M124" s="64">
        <f t="shared" si="68"/>
        <v>910.51729323944073</v>
      </c>
      <c r="N124" s="64">
        <f t="shared" si="68"/>
        <v>965.60358948042699</v>
      </c>
      <c r="O124" s="64">
        <f t="shared" si="68"/>
        <v>1024.022606643993</v>
      </c>
      <c r="P124" s="64">
        <f t="shared" si="68"/>
        <v>1085.9759743459542</v>
      </c>
      <c r="Q124" s="50"/>
      <c r="R124" s="50"/>
      <c r="S124" s="50"/>
      <c r="T124" s="50"/>
      <c r="U124" s="50"/>
      <c r="V124" s="50"/>
      <c r="W124" s="50"/>
      <c r="X124" s="50"/>
      <c r="Y124" s="50"/>
      <c r="Z124" s="50"/>
    </row>
    <row r="125" spans="1:26" ht="15.75" customHeight="1" x14ac:dyDescent="0.35">
      <c r="A125" s="50"/>
      <c r="B125" s="53" t="s">
        <v>152</v>
      </c>
      <c r="C125" s="47"/>
      <c r="D125" s="64">
        <f t="shared" ref="D125:P125" si="69">IFERROR(D94*D110,"")</f>
        <v>0</v>
      </c>
      <c r="E125" s="64">
        <f t="shared" si="69"/>
        <v>0</v>
      </c>
      <c r="F125" s="64">
        <f t="shared" si="69"/>
        <v>228.93288219999999</v>
      </c>
      <c r="G125" s="64">
        <f t="shared" si="69"/>
        <v>242.78332157310001</v>
      </c>
      <c r="H125" s="64">
        <f t="shared" si="69"/>
        <v>257.47171252827252</v>
      </c>
      <c r="I125" s="64">
        <f t="shared" si="69"/>
        <v>273.04875113623302</v>
      </c>
      <c r="J125" s="64">
        <f t="shared" si="69"/>
        <v>289.5682005799751</v>
      </c>
      <c r="K125" s="64">
        <f t="shared" si="69"/>
        <v>307.08707671506363</v>
      </c>
      <c r="L125" s="64">
        <f t="shared" si="69"/>
        <v>325.66584485632495</v>
      </c>
      <c r="M125" s="64">
        <f t="shared" si="69"/>
        <v>345.36862847013265</v>
      </c>
      <c r="N125" s="64">
        <f t="shared" si="69"/>
        <v>366.26343049257571</v>
      </c>
      <c r="O125" s="64">
        <f t="shared" si="69"/>
        <v>388.42236803737654</v>
      </c>
      <c r="P125" s="64">
        <f t="shared" si="69"/>
        <v>411.92192130363782</v>
      </c>
      <c r="Q125" s="50"/>
      <c r="R125" s="50"/>
      <c r="S125" s="50"/>
      <c r="T125" s="50"/>
      <c r="U125" s="50"/>
      <c r="V125" s="50"/>
      <c r="W125" s="50"/>
      <c r="X125" s="50"/>
      <c r="Y125" s="50"/>
      <c r="Z125" s="50"/>
    </row>
    <row r="126" spans="1:26" ht="15.75" customHeight="1" x14ac:dyDescent="0.35">
      <c r="A126" s="50"/>
      <c r="B126" s="53" t="s">
        <v>153</v>
      </c>
      <c r="C126" s="47"/>
      <c r="D126" s="64">
        <f t="shared" ref="D126:P126" si="70">IFERROR(D95*D111,"")</f>
        <v>0</v>
      </c>
      <c r="E126" s="64">
        <f t="shared" si="70"/>
        <v>459.04499999999996</v>
      </c>
      <c r="F126" s="64">
        <f t="shared" si="70"/>
        <v>486.81722250000001</v>
      </c>
      <c r="G126" s="64">
        <f t="shared" si="70"/>
        <v>516.26966446124993</v>
      </c>
      <c r="H126" s="64">
        <f t="shared" si="70"/>
        <v>547.5039791611556</v>
      </c>
      <c r="I126" s="64">
        <f t="shared" si="70"/>
        <v>580.62796990040556</v>
      </c>
      <c r="J126" s="64">
        <f t="shared" si="70"/>
        <v>615.75596207938008</v>
      </c>
      <c r="K126" s="64">
        <f t="shared" si="70"/>
        <v>653.00919778518278</v>
      </c>
      <c r="L126" s="64">
        <f t="shared" si="70"/>
        <v>692.51625425118641</v>
      </c>
      <c r="M126" s="64">
        <f t="shared" si="70"/>
        <v>734.41348763338317</v>
      </c>
      <c r="N126" s="64">
        <f t="shared" si="70"/>
        <v>778.84550363520293</v>
      </c>
      <c r="O126" s="64">
        <f t="shared" si="70"/>
        <v>825.96565660513272</v>
      </c>
      <c r="P126" s="64">
        <f t="shared" si="70"/>
        <v>875.9365788297431</v>
      </c>
      <c r="Q126" s="50"/>
      <c r="R126" s="50"/>
      <c r="S126" s="50"/>
      <c r="T126" s="50"/>
      <c r="U126" s="50"/>
      <c r="V126" s="50"/>
      <c r="W126" s="50"/>
      <c r="X126" s="50"/>
      <c r="Y126" s="50"/>
      <c r="Z126" s="50"/>
    </row>
    <row r="127" spans="1:26" ht="15.75" customHeight="1" x14ac:dyDescent="0.35">
      <c r="A127" s="50"/>
      <c r="B127" s="53" t="s">
        <v>154</v>
      </c>
      <c r="C127" s="47"/>
      <c r="D127" s="64">
        <f t="shared" ref="D127:P127" si="71">IFERROR(D96*D112,"")</f>
        <v>0</v>
      </c>
      <c r="E127" s="64">
        <f t="shared" si="71"/>
        <v>0</v>
      </c>
      <c r="F127" s="64">
        <f t="shared" si="71"/>
        <v>228.93288219999999</v>
      </c>
      <c r="G127" s="64">
        <f t="shared" si="71"/>
        <v>242.78332157310001</v>
      </c>
      <c r="H127" s="64">
        <f t="shared" si="71"/>
        <v>257.47171252827252</v>
      </c>
      <c r="I127" s="64">
        <f t="shared" si="71"/>
        <v>273.04875113623302</v>
      </c>
      <c r="J127" s="64">
        <f t="shared" si="71"/>
        <v>289.5682005799751</v>
      </c>
      <c r="K127" s="64">
        <f t="shared" si="71"/>
        <v>307.08707671506363</v>
      </c>
      <c r="L127" s="64">
        <f t="shared" si="71"/>
        <v>325.66584485632495</v>
      </c>
      <c r="M127" s="64">
        <f t="shared" si="71"/>
        <v>345.36862847013265</v>
      </c>
      <c r="N127" s="64">
        <f t="shared" si="71"/>
        <v>366.26343049257571</v>
      </c>
      <c r="O127" s="64">
        <f t="shared" si="71"/>
        <v>388.42236803737654</v>
      </c>
      <c r="P127" s="64">
        <f t="shared" si="71"/>
        <v>411.92192130363782</v>
      </c>
      <c r="Q127" s="50"/>
      <c r="R127" s="50"/>
      <c r="S127" s="50"/>
      <c r="T127" s="50"/>
      <c r="U127" s="50"/>
      <c r="V127" s="50"/>
      <c r="W127" s="50"/>
      <c r="X127" s="50"/>
      <c r="Y127" s="50"/>
      <c r="Z127" s="50"/>
    </row>
    <row r="128" spans="1:26" ht="15.75" customHeight="1" x14ac:dyDescent="0.35">
      <c r="A128" s="50"/>
      <c r="B128" s="53" t="s">
        <v>155</v>
      </c>
      <c r="C128" s="47"/>
      <c r="D128" s="64">
        <f t="shared" ref="D128:P128" si="72">IFERROR(D97*D113,"")</f>
        <v>0</v>
      </c>
      <c r="E128" s="64">
        <f t="shared" si="72"/>
        <v>0</v>
      </c>
      <c r="F128" s="64">
        <f t="shared" si="72"/>
        <v>228.93288219999999</v>
      </c>
      <c r="G128" s="64">
        <f t="shared" si="72"/>
        <v>242.78332157310001</v>
      </c>
      <c r="H128" s="64">
        <f t="shared" si="72"/>
        <v>257.47171252827252</v>
      </c>
      <c r="I128" s="64">
        <f t="shared" si="72"/>
        <v>273.04875113623302</v>
      </c>
      <c r="J128" s="64">
        <f t="shared" si="72"/>
        <v>289.5682005799751</v>
      </c>
      <c r="K128" s="64">
        <f t="shared" si="72"/>
        <v>307.08707671506363</v>
      </c>
      <c r="L128" s="64">
        <f t="shared" si="72"/>
        <v>325.66584485632495</v>
      </c>
      <c r="M128" s="64">
        <f t="shared" si="72"/>
        <v>345.36862847013265</v>
      </c>
      <c r="N128" s="64">
        <f t="shared" si="72"/>
        <v>366.26343049257571</v>
      </c>
      <c r="O128" s="64">
        <f t="shared" si="72"/>
        <v>388.42236803737654</v>
      </c>
      <c r="P128" s="64">
        <f t="shared" si="72"/>
        <v>411.92192130363782</v>
      </c>
      <c r="Q128" s="50"/>
      <c r="R128" s="50"/>
      <c r="S128" s="50"/>
      <c r="T128" s="50"/>
      <c r="U128" s="50"/>
      <c r="V128" s="50"/>
      <c r="W128" s="50"/>
      <c r="X128" s="50"/>
      <c r="Y128" s="50"/>
      <c r="Z128" s="50"/>
    </row>
    <row r="129" spans="1:26" ht="15.75" customHeight="1" x14ac:dyDescent="0.35">
      <c r="A129" s="50"/>
      <c r="B129" s="53" t="s">
        <v>156</v>
      </c>
      <c r="C129" s="47"/>
      <c r="D129" s="64">
        <f t="shared" ref="D129:P129" si="73">IFERROR(D98*D114,"")</f>
        <v>0</v>
      </c>
      <c r="E129" s="64">
        <f t="shared" si="73"/>
        <v>0</v>
      </c>
      <c r="F129" s="64">
        <f t="shared" si="73"/>
        <v>228.93288219999999</v>
      </c>
      <c r="G129" s="64">
        <f t="shared" si="73"/>
        <v>242.78332157310001</v>
      </c>
      <c r="H129" s="64">
        <f t="shared" si="73"/>
        <v>257.47171252827252</v>
      </c>
      <c r="I129" s="64">
        <f t="shared" si="73"/>
        <v>273.04875113623302</v>
      </c>
      <c r="J129" s="64">
        <f t="shared" si="73"/>
        <v>289.5682005799751</v>
      </c>
      <c r="K129" s="64">
        <f t="shared" si="73"/>
        <v>307.08707671506363</v>
      </c>
      <c r="L129" s="64">
        <f t="shared" si="73"/>
        <v>325.66584485632495</v>
      </c>
      <c r="M129" s="64">
        <f t="shared" si="73"/>
        <v>345.36862847013265</v>
      </c>
      <c r="N129" s="64">
        <f t="shared" si="73"/>
        <v>366.26343049257571</v>
      </c>
      <c r="O129" s="64">
        <f t="shared" si="73"/>
        <v>388.42236803737654</v>
      </c>
      <c r="P129" s="64">
        <f t="shared" si="73"/>
        <v>411.92192130363782</v>
      </c>
      <c r="Q129" s="50"/>
      <c r="R129" s="50"/>
      <c r="S129" s="50"/>
      <c r="T129" s="50"/>
      <c r="U129" s="50"/>
      <c r="V129" s="50"/>
      <c r="W129" s="50"/>
      <c r="X129" s="50"/>
      <c r="Y129" s="50"/>
      <c r="Z129" s="50"/>
    </row>
    <row r="130" spans="1:26" ht="15.75" customHeight="1" x14ac:dyDescent="0.35">
      <c r="A130" s="50"/>
      <c r="B130" s="161" t="s">
        <v>157</v>
      </c>
      <c r="C130" s="47"/>
      <c r="D130" s="64">
        <f t="shared" ref="D130:P130" si="74">IFERROR(D99*D115,"")</f>
        <v>0</v>
      </c>
      <c r="E130" s="64">
        <f t="shared" si="74"/>
        <v>0</v>
      </c>
      <c r="F130" s="64">
        <f t="shared" si="74"/>
        <v>0</v>
      </c>
      <c r="G130" s="64">
        <f t="shared" si="74"/>
        <v>0</v>
      </c>
      <c r="H130" s="64">
        <f t="shared" si="74"/>
        <v>0</v>
      </c>
      <c r="I130" s="64">
        <f t="shared" si="74"/>
        <v>0</v>
      </c>
      <c r="J130" s="64">
        <f t="shared" si="74"/>
        <v>0</v>
      </c>
      <c r="K130" s="64">
        <f t="shared" si="74"/>
        <v>0</v>
      </c>
      <c r="L130" s="64">
        <f t="shared" si="74"/>
        <v>0</v>
      </c>
      <c r="M130" s="64">
        <f t="shared" si="74"/>
        <v>0</v>
      </c>
      <c r="N130" s="64">
        <f t="shared" si="74"/>
        <v>0</v>
      </c>
      <c r="O130" s="64">
        <f t="shared" si="74"/>
        <v>0</v>
      </c>
      <c r="P130" s="64">
        <f t="shared" si="74"/>
        <v>0</v>
      </c>
      <c r="Q130" s="50"/>
      <c r="R130" s="50"/>
      <c r="S130" s="50"/>
      <c r="T130" s="50"/>
      <c r="U130" s="50"/>
      <c r="V130" s="50"/>
      <c r="W130" s="50"/>
      <c r="X130" s="50"/>
      <c r="Y130" s="50"/>
      <c r="Z130" s="50"/>
    </row>
    <row r="131" spans="1:26" ht="15.75" customHeight="1" x14ac:dyDescent="0.35">
      <c r="A131" s="50"/>
      <c r="B131" s="53" t="s">
        <v>158</v>
      </c>
      <c r="C131" s="47"/>
      <c r="D131" s="64">
        <f t="shared" ref="D131:P131" si="75">IFERROR(D100*D116,"")</f>
        <v>0</v>
      </c>
      <c r="E131" s="64">
        <f t="shared" si="75"/>
        <v>0</v>
      </c>
      <c r="F131" s="64">
        <f t="shared" si="75"/>
        <v>228.93288219999999</v>
      </c>
      <c r="G131" s="64">
        <f t="shared" si="75"/>
        <v>242.78332157310001</v>
      </c>
      <c r="H131" s="64">
        <f t="shared" si="75"/>
        <v>257.47171252827252</v>
      </c>
      <c r="I131" s="64">
        <f t="shared" si="75"/>
        <v>273.04875113623302</v>
      </c>
      <c r="J131" s="64">
        <f t="shared" si="75"/>
        <v>289.5682005799751</v>
      </c>
      <c r="K131" s="64">
        <f t="shared" si="75"/>
        <v>307.08707671506363</v>
      </c>
      <c r="L131" s="64">
        <f t="shared" si="75"/>
        <v>325.66584485632495</v>
      </c>
      <c r="M131" s="64">
        <f t="shared" si="75"/>
        <v>345.36862847013265</v>
      </c>
      <c r="N131" s="64">
        <f t="shared" si="75"/>
        <v>366.26343049257571</v>
      </c>
      <c r="O131" s="64">
        <f t="shared" si="75"/>
        <v>388.42236803737654</v>
      </c>
      <c r="P131" s="64">
        <f t="shared" si="75"/>
        <v>411.92192130363782</v>
      </c>
      <c r="Q131" s="50"/>
      <c r="R131" s="50"/>
      <c r="S131" s="50"/>
      <c r="T131" s="50"/>
      <c r="U131" s="50"/>
      <c r="V131" s="50"/>
      <c r="W131" s="50"/>
      <c r="X131" s="50"/>
      <c r="Y131" s="50"/>
      <c r="Z131" s="50"/>
    </row>
    <row r="132" spans="1:26" ht="15.75" customHeight="1" x14ac:dyDescent="0.35">
      <c r="A132" s="32"/>
      <c r="B132" s="58" t="s">
        <v>65</v>
      </c>
      <c r="C132" s="65"/>
      <c r="D132" s="129">
        <f t="shared" ref="D132:P132" si="76">SUM(D118:D131)</f>
        <v>1070</v>
      </c>
      <c r="E132" s="129">
        <f t="shared" si="76"/>
        <v>2542.473</v>
      </c>
      <c r="F132" s="129">
        <f t="shared" si="76"/>
        <v>5006.4335186999988</v>
      </c>
      <c r="G132" s="129">
        <f t="shared" si="76"/>
        <v>5309.3227465813488</v>
      </c>
      <c r="H132" s="129">
        <f t="shared" si="76"/>
        <v>5630.5367727495204</v>
      </c>
      <c r="I132" s="129">
        <f t="shared" si="76"/>
        <v>5971.1842475008689</v>
      </c>
      <c r="J132" s="129">
        <f t="shared" si="76"/>
        <v>6332.4408944746719</v>
      </c>
      <c r="K132" s="129">
        <f t="shared" si="76"/>
        <v>6715.5535685903887</v>
      </c>
      <c r="L132" s="129">
        <f t="shared" si="76"/>
        <v>7121.8445594901068</v>
      </c>
      <c r="M132" s="129">
        <f t="shared" si="76"/>
        <v>7552.7161553392589</v>
      </c>
      <c r="N132" s="129">
        <f t="shared" si="76"/>
        <v>8009.6554827372875</v>
      </c>
      <c r="O132" s="129">
        <f t="shared" si="76"/>
        <v>8494.2396394428906</v>
      </c>
      <c r="P132" s="129">
        <f t="shared" si="76"/>
        <v>9008.1411376291853</v>
      </c>
      <c r="Q132" s="32"/>
      <c r="R132" s="32"/>
      <c r="S132" s="32"/>
      <c r="T132" s="32"/>
      <c r="U132" s="32"/>
      <c r="V132" s="32"/>
      <c r="W132" s="32"/>
      <c r="X132" s="32"/>
      <c r="Y132" s="32"/>
      <c r="Z132" s="32"/>
    </row>
    <row r="133" spans="1:26" ht="15.75" customHeight="1" x14ac:dyDescent="0.35">
      <c r="A133" s="50"/>
      <c r="B133" s="131" t="s">
        <v>137</v>
      </c>
      <c r="C133" s="132" t="s">
        <v>138</v>
      </c>
      <c r="D133" s="133">
        <f t="array" ref="D133">NPV($D$65,D132:P132)</f>
        <v>53348.761844107721</v>
      </c>
      <c r="E133" s="134"/>
      <c r="F133" s="135"/>
      <c r="G133" s="134"/>
      <c r="H133" s="134"/>
      <c r="I133" s="134"/>
      <c r="J133" s="134"/>
      <c r="K133" s="134"/>
      <c r="L133" s="134"/>
      <c r="M133" s="134"/>
      <c r="N133" s="134"/>
      <c r="O133" s="134"/>
      <c r="P133" s="136"/>
      <c r="Q133" s="50"/>
      <c r="R133" s="50"/>
      <c r="S133" s="50"/>
      <c r="T133" s="50"/>
      <c r="U133" s="50"/>
      <c r="V133" s="50"/>
      <c r="W133" s="50"/>
      <c r="X133" s="50"/>
      <c r="Y133" s="50"/>
      <c r="Z133" s="50"/>
    </row>
    <row r="134" spans="1:26" ht="15.75" customHeight="1" x14ac:dyDescent="0.35">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137" t="s">
        <v>55</v>
      </c>
      <c r="C135" s="138"/>
      <c r="D135" s="566" t="s">
        <v>129</v>
      </c>
      <c r="E135" s="552"/>
      <c r="F135" s="553"/>
      <c r="G135" s="139" t="s">
        <v>130</v>
      </c>
      <c r="H135" s="138"/>
      <c r="I135" s="138"/>
      <c r="J135" s="138"/>
      <c r="K135" s="138"/>
      <c r="L135" s="138"/>
      <c r="M135" s="138"/>
      <c r="N135" s="138"/>
      <c r="O135" s="138"/>
      <c r="P135" s="140"/>
      <c r="Q135" s="50"/>
      <c r="R135" s="50"/>
      <c r="S135" s="50"/>
      <c r="T135" s="50"/>
      <c r="U135" s="50"/>
      <c r="V135" s="50"/>
      <c r="W135" s="50"/>
      <c r="X135" s="50"/>
      <c r="Y135" s="50"/>
      <c r="Z135" s="50"/>
    </row>
    <row r="136" spans="1:26" ht="15.75" customHeight="1" x14ac:dyDescent="0.35">
      <c r="A136" s="50"/>
      <c r="B136" s="141"/>
      <c r="C136" s="142"/>
      <c r="D136" s="143">
        <f>D69</f>
        <v>1</v>
      </c>
      <c r="E136" s="143">
        <f>+D136+1</f>
        <v>2</v>
      </c>
      <c r="F136" s="143">
        <f t="shared" ref="F136:P136" si="77">E136+1</f>
        <v>3</v>
      </c>
      <c r="G136" s="143">
        <f t="shared" si="77"/>
        <v>4</v>
      </c>
      <c r="H136" s="143">
        <f t="shared" si="77"/>
        <v>5</v>
      </c>
      <c r="I136" s="143">
        <f t="shared" si="77"/>
        <v>6</v>
      </c>
      <c r="J136" s="143">
        <f t="shared" si="77"/>
        <v>7</v>
      </c>
      <c r="K136" s="143">
        <f t="shared" si="77"/>
        <v>8</v>
      </c>
      <c r="L136" s="143">
        <f t="shared" si="77"/>
        <v>9</v>
      </c>
      <c r="M136" s="143">
        <f t="shared" si="77"/>
        <v>10</v>
      </c>
      <c r="N136" s="143">
        <f t="shared" si="77"/>
        <v>11</v>
      </c>
      <c r="O136" s="143">
        <f t="shared" si="77"/>
        <v>12</v>
      </c>
      <c r="P136" s="144">
        <f t="shared" si="77"/>
        <v>13</v>
      </c>
      <c r="Q136" s="50"/>
      <c r="R136" s="50"/>
      <c r="S136" s="50"/>
      <c r="T136" s="50"/>
      <c r="U136" s="50"/>
      <c r="V136" s="50"/>
      <c r="W136" s="50"/>
      <c r="X136" s="50"/>
      <c r="Y136" s="50"/>
      <c r="Z136" s="50"/>
    </row>
    <row r="137" spans="1:26" ht="15.75" customHeight="1" x14ac:dyDescent="0.35">
      <c r="A137" s="50"/>
      <c r="B137" s="46" t="s">
        <v>220</v>
      </c>
      <c r="C137" s="47"/>
      <c r="D137" s="49"/>
      <c r="E137" s="49"/>
      <c r="F137" s="49"/>
      <c r="G137" s="49"/>
      <c r="H137" s="49"/>
      <c r="I137" s="49"/>
      <c r="J137" s="49"/>
      <c r="K137" s="49"/>
      <c r="L137" s="49"/>
      <c r="M137" s="49"/>
      <c r="N137" s="50"/>
      <c r="O137" s="50"/>
      <c r="P137" s="115"/>
      <c r="Q137" s="50"/>
      <c r="R137" s="50"/>
      <c r="S137" s="50"/>
      <c r="T137" s="50"/>
      <c r="U137" s="50"/>
      <c r="V137" s="50"/>
      <c r="W137" s="50"/>
      <c r="X137" s="50"/>
      <c r="Y137" s="50"/>
      <c r="Z137" s="50"/>
    </row>
    <row r="138" spans="1:26" ht="15.75" customHeight="1" x14ac:dyDescent="0.35">
      <c r="A138" s="50"/>
      <c r="B138" s="53" t="s">
        <v>145</v>
      </c>
      <c r="C138" s="47" t="s">
        <v>109</v>
      </c>
      <c r="D138" s="145">
        <f t="shared" ref="D138:P138" si="78">IFERROR(D87/D71,"")</f>
        <v>0.01</v>
      </c>
      <c r="E138" s="145">
        <f t="shared" si="78"/>
        <v>1.0396039603960397E-2</v>
      </c>
      <c r="F138" s="145">
        <f t="shared" si="78"/>
        <v>1.0807763944711304E-2</v>
      </c>
      <c r="G138" s="145">
        <f t="shared" si="78"/>
        <v>1.1235794199947396E-2</v>
      </c>
      <c r="H138" s="145">
        <f t="shared" si="78"/>
        <v>1.1680776148460163E-2</v>
      </c>
      <c r="I138" s="145">
        <f t="shared" si="78"/>
        <v>1.2143381144438786E-2</v>
      </c>
      <c r="J138" s="145">
        <f t="shared" si="78"/>
        <v>1.2624307130357155E-2</v>
      </c>
      <c r="K138" s="145">
        <f t="shared" si="78"/>
        <v>1.3124279689975262E-2</v>
      </c>
      <c r="L138" s="145">
        <f t="shared" si="78"/>
        <v>1.3644053143043589E-2</v>
      </c>
      <c r="M138" s="145">
        <f t="shared" si="78"/>
        <v>1.4184411683362147E-2</v>
      </c>
      <c r="N138" s="145">
        <f t="shared" si="78"/>
        <v>1.4746170561911142E-2</v>
      </c>
      <c r="O138" s="145">
        <f t="shared" si="78"/>
        <v>1.5330177316838318E-2</v>
      </c>
      <c r="P138" s="146">
        <f t="shared" si="78"/>
        <v>1.5937313052158647E-2</v>
      </c>
      <c r="Q138" s="50"/>
      <c r="R138" s="50"/>
      <c r="S138" s="50"/>
      <c r="T138" s="50"/>
      <c r="U138" s="50"/>
      <c r="V138" s="50"/>
      <c r="W138" s="50"/>
      <c r="X138" s="50"/>
      <c r="Y138" s="50"/>
      <c r="Z138" s="50"/>
    </row>
    <row r="139" spans="1:26" ht="15.75" customHeight="1" x14ac:dyDescent="0.35">
      <c r="A139" s="50"/>
      <c r="B139" s="53" t="s">
        <v>146</v>
      </c>
      <c r="C139" s="47" t="s">
        <v>109</v>
      </c>
      <c r="D139" s="145">
        <f t="shared" ref="D139:P139" si="79">IFERROR(D88/D72,"")</f>
        <v>0.01</v>
      </c>
      <c r="E139" s="145">
        <f t="shared" si="79"/>
        <v>1.0396039603960397E-2</v>
      </c>
      <c r="F139" s="145">
        <f t="shared" si="79"/>
        <v>1.0807763944711304E-2</v>
      </c>
      <c r="G139" s="145">
        <f t="shared" si="79"/>
        <v>1.1235794199947396E-2</v>
      </c>
      <c r="H139" s="145">
        <f t="shared" si="79"/>
        <v>1.1680776148460163E-2</v>
      </c>
      <c r="I139" s="145">
        <f t="shared" si="79"/>
        <v>1.2143381144438786E-2</v>
      </c>
      <c r="J139" s="145">
        <f t="shared" si="79"/>
        <v>1.2624307130357155E-2</v>
      </c>
      <c r="K139" s="145">
        <f t="shared" si="79"/>
        <v>1.3124279689975262E-2</v>
      </c>
      <c r="L139" s="145">
        <f t="shared" si="79"/>
        <v>1.3644053143043589E-2</v>
      </c>
      <c r="M139" s="145">
        <f t="shared" si="79"/>
        <v>1.4184411683362147E-2</v>
      </c>
      <c r="N139" s="145">
        <f t="shared" si="79"/>
        <v>1.4746170561911142E-2</v>
      </c>
      <c r="O139" s="145">
        <f t="shared" si="79"/>
        <v>1.5330177316838318E-2</v>
      </c>
      <c r="P139" s="146">
        <f t="shared" si="79"/>
        <v>1.5937313052158647E-2</v>
      </c>
      <c r="Q139" s="50"/>
      <c r="R139" s="50"/>
      <c r="S139" s="50"/>
      <c r="T139" s="50"/>
      <c r="U139" s="50"/>
      <c r="V139" s="50"/>
      <c r="W139" s="50"/>
      <c r="X139" s="50"/>
      <c r="Y139" s="50"/>
      <c r="Z139" s="50"/>
    </row>
    <row r="140" spans="1:26" ht="15.75" customHeight="1" x14ac:dyDescent="0.35">
      <c r="A140" s="50"/>
      <c r="B140" s="53" t="s">
        <v>147</v>
      </c>
      <c r="C140" s="47" t="s">
        <v>109</v>
      </c>
      <c r="D140" s="145">
        <f t="shared" ref="D140:P140" si="80">IFERROR(D89/D73,"")</f>
        <v>0</v>
      </c>
      <c r="E140" s="145">
        <f t="shared" si="80"/>
        <v>0.01</v>
      </c>
      <c r="F140" s="145">
        <f t="shared" si="80"/>
        <v>1.0396039603960397E-2</v>
      </c>
      <c r="G140" s="145">
        <f t="shared" si="80"/>
        <v>1.0807763944711304E-2</v>
      </c>
      <c r="H140" s="145">
        <f t="shared" si="80"/>
        <v>1.1235794199947396E-2</v>
      </c>
      <c r="I140" s="145">
        <f t="shared" si="80"/>
        <v>1.1680776148460165E-2</v>
      </c>
      <c r="J140" s="145">
        <f t="shared" si="80"/>
        <v>1.2143381144438787E-2</v>
      </c>
      <c r="K140" s="145">
        <f t="shared" si="80"/>
        <v>1.2624307130357155E-2</v>
      </c>
      <c r="L140" s="145">
        <f t="shared" si="80"/>
        <v>1.3124279689975262E-2</v>
      </c>
      <c r="M140" s="145">
        <f t="shared" si="80"/>
        <v>1.3644053143043589E-2</v>
      </c>
      <c r="N140" s="145">
        <f t="shared" si="80"/>
        <v>1.4184411683362146E-2</v>
      </c>
      <c r="O140" s="145">
        <f t="shared" si="80"/>
        <v>1.4746170561911146E-2</v>
      </c>
      <c r="P140" s="146">
        <f t="shared" si="80"/>
        <v>1.5330177316838316E-2</v>
      </c>
      <c r="Q140" s="50"/>
      <c r="R140" s="50"/>
      <c r="S140" s="50"/>
      <c r="T140" s="50"/>
      <c r="U140" s="50"/>
      <c r="V140" s="50"/>
      <c r="W140" s="50"/>
      <c r="X140" s="50"/>
      <c r="Y140" s="50"/>
      <c r="Z140" s="50"/>
    </row>
    <row r="141" spans="1:26" ht="15.75" customHeight="1" x14ac:dyDescent="0.35">
      <c r="A141" s="50"/>
      <c r="B141" s="53" t="s">
        <v>148</v>
      </c>
      <c r="C141" s="47" t="s">
        <v>109</v>
      </c>
      <c r="D141" s="145">
        <f t="shared" ref="D141:P141" si="81">IFERROR(D90/D74,"")</f>
        <v>0</v>
      </c>
      <c r="E141" s="145">
        <f t="shared" si="81"/>
        <v>0.03</v>
      </c>
      <c r="F141" s="145">
        <f t="shared" si="81"/>
        <v>3.1188118811881185E-2</v>
      </c>
      <c r="G141" s="145">
        <f t="shared" si="81"/>
        <v>3.2423291834133908E-2</v>
      </c>
      <c r="H141" s="145">
        <f t="shared" si="81"/>
        <v>3.3707382599842177E-2</v>
      </c>
      <c r="I141" s="145">
        <f t="shared" si="81"/>
        <v>3.5042328445380487E-2</v>
      </c>
      <c r="J141" s="145">
        <f t="shared" si="81"/>
        <v>3.6430143433316353E-2</v>
      </c>
      <c r="K141" s="145">
        <f t="shared" si="81"/>
        <v>3.7872921391071457E-2</v>
      </c>
      <c r="L141" s="145">
        <f t="shared" si="81"/>
        <v>3.937283906992578E-2</v>
      </c>
      <c r="M141" s="145">
        <f t="shared" si="81"/>
        <v>4.0932159429130754E-2</v>
      </c>
      <c r="N141" s="145">
        <f t="shared" si="81"/>
        <v>4.255323505008643E-2</v>
      </c>
      <c r="O141" s="145">
        <f t="shared" si="81"/>
        <v>4.4238511685733423E-2</v>
      </c>
      <c r="P141" s="146">
        <f t="shared" si="81"/>
        <v>4.5990531950514939E-2</v>
      </c>
      <c r="Q141" s="50"/>
      <c r="R141" s="50"/>
      <c r="S141" s="50"/>
      <c r="T141" s="50"/>
      <c r="U141" s="50"/>
      <c r="V141" s="50"/>
      <c r="W141" s="50"/>
      <c r="X141" s="50"/>
      <c r="Y141" s="50"/>
      <c r="Z141" s="50"/>
    </row>
    <row r="142" spans="1:26" ht="15.75" customHeight="1" x14ac:dyDescent="0.35">
      <c r="A142" s="50"/>
      <c r="B142" s="53" t="s">
        <v>149</v>
      </c>
      <c r="C142" s="47" t="s">
        <v>109</v>
      </c>
      <c r="D142" s="145">
        <f t="shared" ref="D142:P142" si="82">IFERROR(D91/D75,"")</f>
        <v>0</v>
      </c>
      <c r="E142" s="145">
        <f t="shared" si="82"/>
        <v>0</v>
      </c>
      <c r="F142" s="145">
        <f t="shared" si="82"/>
        <v>0</v>
      </c>
      <c r="G142" s="145">
        <f t="shared" si="82"/>
        <v>0</v>
      </c>
      <c r="H142" s="145">
        <f t="shared" si="82"/>
        <v>0</v>
      </c>
      <c r="I142" s="145">
        <f t="shared" si="82"/>
        <v>0</v>
      </c>
      <c r="J142" s="145">
        <f t="shared" si="82"/>
        <v>0</v>
      </c>
      <c r="K142" s="145">
        <f t="shared" si="82"/>
        <v>0</v>
      </c>
      <c r="L142" s="145">
        <f t="shared" si="82"/>
        <v>0</v>
      </c>
      <c r="M142" s="145">
        <f t="shared" si="82"/>
        <v>0</v>
      </c>
      <c r="N142" s="145">
        <f t="shared" si="82"/>
        <v>0</v>
      </c>
      <c r="O142" s="145">
        <f t="shared" si="82"/>
        <v>0</v>
      </c>
      <c r="P142" s="146">
        <f t="shared" si="82"/>
        <v>0</v>
      </c>
      <c r="Q142" s="50"/>
      <c r="R142" s="50"/>
      <c r="S142" s="50"/>
      <c r="T142" s="50"/>
      <c r="U142" s="50"/>
      <c r="V142" s="50"/>
      <c r="W142" s="50"/>
      <c r="X142" s="50"/>
      <c r="Y142" s="50"/>
      <c r="Z142" s="50"/>
    </row>
    <row r="143" spans="1:26" ht="15.75" customHeight="1" x14ac:dyDescent="0.35">
      <c r="A143" s="50"/>
      <c r="B143" s="53" t="s">
        <v>150</v>
      </c>
      <c r="C143" s="47" t="s">
        <v>109</v>
      </c>
      <c r="D143" s="145">
        <f t="shared" ref="D143:P143" si="83">IFERROR(D92/D76,"")</f>
        <v>0</v>
      </c>
      <c r="E143" s="145">
        <f t="shared" si="83"/>
        <v>0</v>
      </c>
      <c r="F143" s="145">
        <f t="shared" si="83"/>
        <v>0.01</v>
      </c>
      <c r="G143" s="145">
        <f t="shared" si="83"/>
        <v>1.0396039603960397E-2</v>
      </c>
      <c r="H143" s="145">
        <f t="shared" si="83"/>
        <v>1.0807763944711302E-2</v>
      </c>
      <c r="I143" s="145">
        <f t="shared" si="83"/>
        <v>1.1235794199947396E-2</v>
      </c>
      <c r="J143" s="145">
        <f t="shared" si="83"/>
        <v>1.1680776148460165E-2</v>
      </c>
      <c r="K143" s="145">
        <f t="shared" si="83"/>
        <v>1.2143381144438786E-2</v>
      </c>
      <c r="L143" s="145">
        <f t="shared" si="83"/>
        <v>1.2624307130357153E-2</v>
      </c>
      <c r="M143" s="145">
        <f t="shared" si="83"/>
        <v>1.3124279689975258E-2</v>
      </c>
      <c r="N143" s="145">
        <f t="shared" si="83"/>
        <v>1.3644053143043585E-2</v>
      </c>
      <c r="O143" s="145">
        <f t="shared" si="83"/>
        <v>1.4184411683362144E-2</v>
      </c>
      <c r="P143" s="146">
        <f t="shared" si="83"/>
        <v>1.4746170561911139E-2</v>
      </c>
      <c r="Q143" s="50"/>
      <c r="R143" s="50"/>
      <c r="S143" s="50"/>
      <c r="T143" s="50"/>
      <c r="U143" s="50"/>
      <c r="V143" s="50"/>
      <c r="W143" s="50"/>
      <c r="X143" s="50"/>
      <c r="Y143" s="50"/>
      <c r="Z143" s="50"/>
    </row>
    <row r="144" spans="1:26" ht="15.75" customHeight="1" x14ac:dyDescent="0.35">
      <c r="A144" s="50"/>
      <c r="B144" s="53" t="s">
        <v>151</v>
      </c>
      <c r="C144" s="47" t="s">
        <v>109</v>
      </c>
      <c r="D144" s="145">
        <f t="shared" ref="D144:P144" si="84">IFERROR(D93/D77,"")</f>
        <v>0</v>
      </c>
      <c r="E144" s="145">
        <f t="shared" si="84"/>
        <v>0</v>
      </c>
      <c r="F144" s="145">
        <f t="shared" si="84"/>
        <v>0.01</v>
      </c>
      <c r="G144" s="145">
        <f t="shared" si="84"/>
        <v>1.0396039603960397E-2</v>
      </c>
      <c r="H144" s="145">
        <f t="shared" si="84"/>
        <v>1.0807763944711302E-2</v>
      </c>
      <c r="I144" s="145">
        <f t="shared" si="84"/>
        <v>1.1235794199947396E-2</v>
      </c>
      <c r="J144" s="145">
        <f t="shared" si="84"/>
        <v>1.1680776148460165E-2</v>
      </c>
      <c r="K144" s="145">
        <f t="shared" si="84"/>
        <v>1.2143381144438786E-2</v>
      </c>
      <c r="L144" s="145">
        <f t="shared" si="84"/>
        <v>1.2624307130357153E-2</v>
      </c>
      <c r="M144" s="145">
        <f t="shared" si="84"/>
        <v>1.3124279689975258E-2</v>
      </c>
      <c r="N144" s="145">
        <f t="shared" si="84"/>
        <v>1.3644053143043585E-2</v>
      </c>
      <c r="O144" s="145">
        <f t="shared" si="84"/>
        <v>1.4184411683362144E-2</v>
      </c>
      <c r="P144" s="146">
        <f t="shared" si="84"/>
        <v>1.4746170561911139E-2</v>
      </c>
      <c r="Q144" s="50"/>
      <c r="R144" s="50"/>
      <c r="S144" s="50"/>
      <c r="T144" s="50"/>
      <c r="U144" s="50"/>
      <c r="V144" s="50"/>
      <c r="W144" s="50"/>
      <c r="X144" s="50"/>
      <c r="Y144" s="50"/>
      <c r="Z144" s="50"/>
    </row>
    <row r="145" spans="1:26" ht="15.75" customHeight="1" x14ac:dyDescent="0.35">
      <c r="A145" s="50"/>
      <c r="B145" s="53" t="s">
        <v>152</v>
      </c>
      <c r="C145" s="47" t="s">
        <v>109</v>
      </c>
      <c r="D145" s="145">
        <f t="shared" ref="D145:P145" si="85">IFERROR(D94/D78,"")</f>
        <v>0</v>
      </c>
      <c r="E145" s="145">
        <f t="shared" si="85"/>
        <v>0</v>
      </c>
      <c r="F145" s="145">
        <f t="shared" si="85"/>
        <v>0.01</v>
      </c>
      <c r="G145" s="145">
        <f t="shared" si="85"/>
        <v>1.0396039603960397E-2</v>
      </c>
      <c r="H145" s="145">
        <f t="shared" si="85"/>
        <v>1.0807763944711302E-2</v>
      </c>
      <c r="I145" s="145">
        <f t="shared" si="85"/>
        <v>1.1235794199947396E-2</v>
      </c>
      <c r="J145" s="145">
        <f t="shared" si="85"/>
        <v>1.1680776148460165E-2</v>
      </c>
      <c r="K145" s="145">
        <f t="shared" si="85"/>
        <v>1.2143381144438786E-2</v>
      </c>
      <c r="L145" s="145">
        <f t="shared" si="85"/>
        <v>1.2624307130357153E-2</v>
      </c>
      <c r="M145" s="145">
        <f t="shared" si="85"/>
        <v>1.3124279689975258E-2</v>
      </c>
      <c r="N145" s="145">
        <f t="shared" si="85"/>
        <v>1.3644053143043585E-2</v>
      </c>
      <c r="O145" s="145">
        <f t="shared" si="85"/>
        <v>1.4184411683362144E-2</v>
      </c>
      <c r="P145" s="146">
        <f t="shared" si="85"/>
        <v>1.4746170561911139E-2</v>
      </c>
      <c r="Q145" s="50"/>
      <c r="R145" s="50"/>
      <c r="S145" s="50"/>
      <c r="T145" s="50"/>
      <c r="U145" s="50"/>
      <c r="V145" s="50"/>
      <c r="W145" s="50"/>
      <c r="X145" s="50"/>
      <c r="Y145" s="50"/>
      <c r="Z145" s="50"/>
    </row>
    <row r="146" spans="1:26" ht="15.75" customHeight="1" x14ac:dyDescent="0.35">
      <c r="A146" s="50"/>
      <c r="B146" s="53" t="s">
        <v>153</v>
      </c>
      <c r="C146" s="47" t="s">
        <v>109</v>
      </c>
      <c r="D146" s="145">
        <f t="shared" ref="D146:P146" si="86">IFERROR(D95/D79,"")</f>
        <v>0</v>
      </c>
      <c r="E146" s="145">
        <f t="shared" si="86"/>
        <v>0.03</v>
      </c>
      <c r="F146" s="145">
        <f t="shared" si="86"/>
        <v>3.1188118811881185E-2</v>
      </c>
      <c r="G146" s="145">
        <f t="shared" si="86"/>
        <v>3.2423291834133908E-2</v>
      </c>
      <c r="H146" s="145">
        <f t="shared" si="86"/>
        <v>3.3707382599842177E-2</v>
      </c>
      <c r="I146" s="145">
        <f t="shared" si="86"/>
        <v>3.5042328445380487E-2</v>
      </c>
      <c r="J146" s="145">
        <f t="shared" si="86"/>
        <v>3.6430143433316353E-2</v>
      </c>
      <c r="K146" s="145">
        <f t="shared" si="86"/>
        <v>3.7872921391071457E-2</v>
      </c>
      <c r="L146" s="145">
        <f t="shared" si="86"/>
        <v>3.937283906992578E-2</v>
      </c>
      <c r="M146" s="145">
        <f t="shared" si="86"/>
        <v>4.0932159429130754E-2</v>
      </c>
      <c r="N146" s="145">
        <f t="shared" si="86"/>
        <v>4.255323505008643E-2</v>
      </c>
      <c r="O146" s="145">
        <f t="shared" si="86"/>
        <v>4.4238511685733423E-2</v>
      </c>
      <c r="P146" s="146">
        <f t="shared" si="86"/>
        <v>4.5990531950514939E-2</v>
      </c>
      <c r="Q146" s="50"/>
      <c r="R146" s="50"/>
      <c r="S146" s="50"/>
      <c r="T146" s="50"/>
      <c r="U146" s="50"/>
      <c r="V146" s="50"/>
      <c r="W146" s="50"/>
      <c r="X146" s="50"/>
      <c r="Y146" s="50"/>
      <c r="Z146" s="50"/>
    </row>
    <row r="147" spans="1:26" ht="15.75" customHeight="1" x14ac:dyDescent="0.35">
      <c r="A147" s="50"/>
      <c r="B147" s="53" t="s">
        <v>154</v>
      </c>
      <c r="C147" s="47" t="s">
        <v>109</v>
      </c>
      <c r="D147" s="145">
        <f t="shared" ref="D147:P147" si="87">IFERROR(D96/D80,"")</f>
        <v>0</v>
      </c>
      <c r="E147" s="145">
        <f t="shared" si="87"/>
        <v>0</v>
      </c>
      <c r="F147" s="145">
        <f t="shared" si="87"/>
        <v>0.01</v>
      </c>
      <c r="G147" s="145">
        <f t="shared" si="87"/>
        <v>1.0396039603960397E-2</v>
      </c>
      <c r="H147" s="145">
        <f t="shared" si="87"/>
        <v>1.0807763944711302E-2</v>
      </c>
      <c r="I147" s="145">
        <f t="shared" si="87"/>
        <v>1.1235794199947396E-2</v>
      </c>
      <c r="J147" s="145">
        <f t="shared" si="87"/>
        <v>1.1680776148460165E-2</v>
      </c>
      <c r="K147" s="145">
        <f t="shared" si="87"/>
        <v>1.2143381144438786E-2</v>
      </c>
      <c r="L147" s="145">
        <f t="shared" si="87"/>
        <v>1.2624307130357153E-2</v>
      </c>
      <c r="M147" s="145">
        <f t="shared" si="87"/>
        <v>1.3124279689975258E-2</v>
      </c>
      <c r="N147" s="145">
        <f t="shared" si="87"/>
        <v>1.3644053143043585E-2</v>
      </c>
      <c r="O147" s="145">
        <f t="shared" si="87"/>
        <v>1.4184411683362144E-2</v>
      </c>
      <c r="P147" s="146">
        <f t="shared" si="87"/>
        <v>1.4746170561911139E-2</v>
      </c>
      <c r="Q147" s="50"/>
      <c r="R147" s="50"/>
      <c r="S147" s="50"/>
      <c r="T147" s="50"/>
      <c r="U147" s="50"/>
      <c r="V147" s="50"/>
      <c r="W147" s="50"/>
      <c r="X147" s="50"/>
      <c r="Y147" s="50"/>
      <c r="Z147" s="50"/>
    </row>
    <row r="148" spans="1:26" ht="15.75" customHeight="1" x14ac:dyDescent="0.35">
      <c r="A148" s="50"/>
      <c r="B148" s="53" t="s">
        <v>155</v>
      </c>
      <c r="C148" s="47" t="s">
        <v>109</v>
      </c>
      <c r="D148" s="145">
        <f t="shared" ref="D148:P148" si="88">IFERROR(D97/D81,"")</f>
        <v>0</v>
      </c>
      <c r="E148" s="145">
        <f t="shared" si="88"/>
        <v>0</v>
      </c>
      <c r="F148" s="145">
        <f t="shared" si="88"/>
        <v>0.01</v>
      </c>
      <c r="G148" s="145">
        <f t="shared" si="88"/>
        <v>1.0396039603960397E-2</v>
      </c>
      <c r="H148" s="145">
        <f t="shared" si="88"/>
        <v>1.0807763944711302E-2</v>
      </c>
      <c r="I148" s="145">
        <f t="shared" si="88"/>
        <v>1.1235794199947396E-2</v>
      </c>
      <c r="J148" s="145">
        <f t="shared" si="88"/>
        <v>1.1680776148460165E-2</v>
      </c>
      <c r="K148" s="145">
        <f t="shared" si="88"/>
        <v>1.2143381144438786E-2</v>
      </c>
      <c r="L148" s="145">
        <f t="shared" si="88"/>
        <v>1.2624307130357153E-2</v>
      </c>
      <c r="M148" s="145">
        <f t="shared" si="88"/>
        <v>1.3124279689975258E-2</v>
      </c>
      <c r="N148" s="145">
        <f t="shared" si="88"/>
        <v>1.3644053143043585E-2</v>
      </c>
      <c r="O148" s="145">
        <f t="shared" si="88"/>
        <v>1.4184411683362144E-2</v>
      </c>
      <c r="P148" s="146">
        <f t="shared" si="88"/>
        <v>1.4746170561911139E-2</v>
      </c>
      <c r="Q148" s="50"/>
      <c r="R148" s="50"/>
      <c r="S148" s="50"/>
      <c r="T148" s="50"/>
      <c r="U148" s="50"/>
      <c r="V148" s="50"/>
      <c r="W148" s="50"/>
      <c r="X148" s="50"/>
      <c r="Y148" s="50"/>
      <c r="Z148" s="50"/>
    </row>
    <row r="149" spans="1:26" ht="15.75" customHeight="1" x14ac:dyDescent="0.35">
      <c r="A149" s="50"/>
      <c r="B149" s="53" t="s">
        <v>156</v>
      </c>
      <c r="C149" s="47" t="s">
        <v>109</v>
      </c>
      <c r="D149" s="145">
        <f t="shared" ref="D149:P149" si="89">IFERROR(D98/D82,"")</f>
        <v>0</v>
      </c>
      <c r="E149" s="145">
        <f t="shared" si="89"/>
        <v>0</v>
      </c>
      <c r="F149" s="145">
        <f t="shared" si="89"/>
        <v>0.01</v>
      </c>
      <c r="G149" s="145">
        <f t="shared" si="89"/>
        <v>1.0396039603960397E-2</v>
      </c>
      <c r="H149" s="145">
        <f t="shared" si="89"/>
        <v>1.0807763944711302E-2</v>
      </c>
      <c r="I149" s="145">
        <f t="shared" si="89"/>
        <v>1.1235794199947396E-2</v>
      </c>
      <c r="J149" s="145">
        <f t="shared" si="89"/>
        <v>1.1680776148460165E-2</v>
      </c>
      <c r="K149" s="145">
        <f t="shared" si="89"/>
        <v>1.2143381144438786E-2</v>
      </c>
      <c r="L149" s="145">
        <f t="shared" si="89"/>
        <v>1.2624307130357153E-2</v>
      </c>
      <c r="M149" s="145">
        <f t="shared" si="89"/>
        <v>1.3124279689975258E-2</v>
      </c>
      <c r="N149" s="145">
        <f t="shared" si="89"/>
        <v>1.3644053143043585E-2</v>
      </c>
      <c r="O149" s="145">
        <f t="shared" si="89"/>
        <v>1.4184411683362144E-2</v>
      </c>
      <c r="P149" s="146">
        <f t="shared" si="89"/>
        <v>1.4746170561911139E-2</v>
      </c>
      <c r="Q149" s="50"/>
      <c r="R149" s="50"/>
      <c r="S149" s="50"/>
      <c r="T149" s="50"/>
      <c r="U149" s="50"/>
      <c r="V149" s="50"/>
      <c r="W149" s="50"/>
      <c r="X149" s="50"/>
      <c r="Y149" s="50"/>
      <c r="Z149" s="50"/>
    </row>
    <row r="150" spans="1:26" ht="15.75" customHeight="1" x14ac:dyDescent="0.35">
      <c r="A150" s="50"/>
      <c r="B150" s="161" t="s">
        <v>157</v>
      </c>
      <c r="C150" s="47" t="s">
        <v>109</v>
      </c>
      <c r="D150" s="145">
        <f t="shared" ref="D150:P150" si="90">IFERROR(D99/D83,"")</f>
        <v>0</v>
      </c>
      <c r="E150" s="145">
        <f t="shared" si="90"/>
        <v>0</v>
      </c>
      <c r="F150" s="145">
        <f t="shared" si="90"/>
        <v>0</v>
      </c>
      <c r="G150" s="145">
        <f t="shared" si="90"/>
        <v>0</v>
      </c>
      <c r="H150" s="145">
        <f t="shared" si="90"/>
        <v>0</v>
      </c>
      <c r="I150" s="145">
        <f t="shared" si="90"/>
        <v>0</v>
      </c>
      <c r="J150" s="145">
        <f t="shared" si="90"/>
        <v>0</v>
      </c>
      <c r="K150" s="145">
        <f t="shared" si="90"/>
        <v>0</v>
      </c>
      <c r="L150" s="145">
        <f t="shared" si="90"/>
        <v>0</v>
      </c>
      <c r="M150" s="145">
        <f t="shared" si="90"/>
        <v>0</v>
      </c>
      <c r="N150" s="145">
        <f t="shared" si="90"/>
        <v>0</v>
      </c>
      <c r="O150" s="145">
        <f t="shared" si="90"/>
        <v>0</v>
      </c>
      <c r="P150" s="146">
        <f t="shared" si="90"/>
        <v>0</v>
      </c>
      <c r="Q150" s="50"/>
      <c r="R150" s="50"/>
      <c r="S150" s="50"/>
      <c r="T150" s="50"/>
      <c r="U150" s="50"/>
      <c r="V150" s="50"/>
      <c r="W150" s="50"/>
      <c r="X150" s="50"/>
      <c r="Y150" s="50"/>
      <c r="Z150" s="50"/>
    </row>
    <row r="151" spans="1:26" ht="15.75" customHeight="1" x14ac:dyDescent="0.35">
      <c r="A151" s="50"/>
      <c r="B151" s="53" t="s">
        <v>158</v>
      </c>
      <c r="C151" s="47" t="s">
        <v>109</v>
      </c>
      <c r="D151" s="145">
        <f t="shared" ref="D151:P151" si="91">IFERROR(D100/D84,"")</f>
        <v>0</v>
      </c>
      <c r="E151" s="145">
        <f t="shared" si="91"/>
        <v>0</v>
      </c>
      <c r="F151" s="145">
        <f t="shared" si="91"/>
        <v>0.01</v>
      </c>
      <c r="G151" s="145">
        <f t="shared" si="91"/>
        <v>1.0396039603960397E-2</v>
      </c>
      <c r="H151" s="145">
        <f t="shared" si="91"/>
        <v>1.0807763944711302E-2</v>
      </c>
      <c r="I151" s="145">
        <f t="shared" si="91"/>
        <v>1.1235794199947396E-2</v>
      </c>
      <c r="J151" s="145">
        <f t="shared" si="91"/>
        <v>1.1680776148460165E-2</v>
      </c>
      <c r="K151" s="145">
        <f t="shared" si="91"/>
        <v>1.2143381144438786E-2</v>
      </c>
      <c r="L151" s="145">
        <f t="shared" si="91"/>
        <v>1.2624307130357153E-2</v>
      </c>
      <c r="M151" s="145">
        <f t="shared" si="91"/>
        <v>1.3124279689975258E-2</v>
      </c>
      <c r="N151" s="145">
        <f t="shared" si="91"/>
        <v>1.3644053143043585E-2</v>
      </c>
      <c r="O151" s="145">
        <f t="shared" si="91"/>
        <v>1.4184411683362144E-2</v>
      </c>
      <c r="P151" s="146">
        <f t="shared" si="91"/>
        <v>1.4746170561911139E-2</v>
      </c>
      <c r="Q151" s="50"/>
      <c r="R151" s="50"/>
      <c r="S151" s="50"/>
      <c r="T151" s="50"/>
      <c r="U151" s="50"/>
      <c r="V151" s="50"/>
      <c r="W151" s="50"/>
      <c r="X151" s="50"/>
      <c r="Y151" s="50"/>
      <c r="Z151" s="50"/>
    </row>
    <row r="152" spans="1:26" ht="15.75" customHeight="1" x14ac:dyDescent="0.35">
      <c r="A152" s="50"/>
      <c r="B152" s="147" t="s">
        <v>140</v>
      </c>
      <c r="C152" s="148" t="s">
        <v>109</v>
      </c>
      <c r="D152" s="149">
        <f t="shared" ref="D152:P152" si="92">D101/D85</f>
        <v>1.4285714285714286E-3</v>
      </c>
      <c r="E152" s="149">
        <f t="shared" si="92"/>
        <v>6.485148514851484E-3</v>
      </c>
      <c r="F152" s="149">
        <f t="shared" si="92"/>
        <v>1.1741986079796093E-2</v>
      </c>
      <c r="G152" s="149">
        <f t="shared" si="92"/>
        <v>1.2207015231471195E-2</v>
      </c>
      <c r="H152" s="149">
        <f t="shared" si="92"/>
        <v>1.269046137925223E-2</v>
      </c>
      <c r="I152" s="149">
        <f t="shared" si="92"/>
        <v>1.3193053909123609E-2</v>
      </c>
      <c r="J152" s="149">
        <f t="shared" si="92"/>
        <v>1.3715551093643353E-2</v>
      </c>
      <c r="K152" s="149">
        <f t="shared" si="92"/>
        <v>1.4258741235965856E-2</v>
      </c>
      <c r="L152" s="149">
        <f t="shared" si="92"/>
        <v>1.4823443859172431E-2</v>
      </c>
      <c r="M152" s="149">
        <f t="shared" si="92"/>
        <v>1.5410510942704014E-2</v>
      </c>
      <c r="N152" s="149">
        <f t="shared" si="92"/>
        <v>1.60208282077616E-2</v>
      </c>
      <c r="O152" s="149">
        <f t="shared" si="92"/>
        <v>1.6655316453613549E-2</v>
      </c>
      <c r="P152" s="150">
        <f t="shared" si="92"/>
        <v>1.7314932946825966E-2</v>
      </c>
      <c r="Q152" s="50"/>
      <c r="R152" s="50"/>
      <c r="S152" s="50"/>
      <c r="T152" s="50"/>
      <c r="U152" s="50"/>
      <c r="V152" s="50"/>
      <c r="W152" s="50"/>
      <c r="X152" s="50"/>
      <c r="Y152" s="50"/>
      <c r="Z152" s="50"/>
    </row>
    <row r="153" spans="1:26" ht="15.75" customHeight="1" x14ac:dyDescent="0.3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x14ac:dyDescent="0.3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x14ac:dyDescent="0.3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x14ac:dyDescent="0.3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x14ac:dyDescent="0.35">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x14ac:dyDescent="0.35">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x14ac:dyDescent="0.3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x14ac:dyDescent="0.35">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x14ac:dyDescent="0.35">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x14ac:dyDescent="0.35">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x14ac:dyDescent="0.35">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x14ac:dyDescent="0.35">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x14ac:dyDescent="0.35">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x14ac:dyDescent="0.35">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x14ac:dyDescent="0.35">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x14ac:dyDescent="0.35">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x14ac:dyDescent="0.3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x14ac:dyDescent="0.35">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x14ac:dyDescent="0.35">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x14ac:dyDescent="0.35">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x14ac:dyDescent="0.35">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x14ac:dyDescent="0.35">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x14ac:dyDescent="0.35">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x14ac:dyDescent="0.35">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x14ac:dyDescent="0.35">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x14ac:dyDescent="0.35">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x14ac:dyDescent="0.3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x14ac:dyDescent="0.35">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x14ac:dyDescent="0.3"/>
    <row r="298" spans="1:26" ht="15.75" customHeight="1" x14ac:dyDescent="0.3"/>
    <row r="299" spans="1:26" ht="15.75" customHeight="1" x14ac:dyDescent="0.3"/>
    <row r="300" spans="1:26" ht="15.75" customHeight="1" x14ac:dyDescent="0.3"/>
    <row r="301" spans="1:26" ht="15.75" customHeight="1" x14ac:dyDescent="0.3"/>
    <row r="302" spans="1:26" ht="15.75" customHeight="1" x14ac:dyDescent="0.3"/>
    <row r="303" spans="1:26" ht="15.75" customHeight="1" x14ac:dyDescent="0.3"/>
    <row r="304" spans="1:26"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D68:F68"/>
    <mergeCell ref="D135:F135"/>
    <mergeCell ref="B4:D4"/>
    <mergeCell ref="B5:D5"/>
    <mergeCell ref="B6:J6"/>
    <mergeCell ref="B7:D7"/>
    <mergeCell ref="B8:J8"/>
    <mergeCell ref="G27:L27"/>
    <mergeCell ref="G42:L42"/>
  </mergeCells>
  <dataValidations count="1">
    <dataValidation type="list" allowBlank="1" showErrorMessage="1" sqref="D59" xr:uid="{00000000-0002-0000-0900-000000000000}">
      <formula1>"High,Medium,Low"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81" customWidth="1"/>
    <col min="3" max="3" width="24.296875" customWidth="1"/>
    <col min="4" max="4" width="15.8984375" customWidth="1"/>
    <col min="5" max="5" width="11.8984375" customWidth="1"/>
    <col min="7" max="9" width="14.09765625" customWidth="1"/>
    <col min="10" max="10" width="18.5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74</v>
      </c>
      <c r="C2" s="32"/>
      <c r="D2" s="203" t="s">
        <v>141</v>
      </c>
      <c r="E2" s="77"/>
      <c r="F2" s="79"/>
      <c r="G2" s="34" t="s">
        <v>54</v>
      </c>
      <c r="H2" s="32"/>
      <c r="I2" s="32"/>
      <c r="J2" s="32"/>
      <c r="K2" s="32"/>
      <c r="L2" s="50"/>
      <c r="M2" s="50"/>
      <c r="N2" s="50"/>
      <c r="O2" s="50"/>
      <c r="P2" s="50"/>
      <c r="Q2" s="50"/>
      <c r="R2" s="50"/>
      <c r="S2" s="50"/>
      <c r="T2" s="50"/>
      <c r="U2" s="50"/>
      <c r="V2" s="50"/>
      <c r="W2" s="50"/>
      <c r="X2" s="50"/>
      <c r="Y2" s="50"/>
      <c r="Z2" s="50"/>
    </row>
    <row r="3" spans="1:26" ht="15.5" x14ac:dyDescent="0.35">
      <c r="A3" s="50"/>
      <c r="B3" s="31"/>
      <c r="C3" s="32"/>
      <c r="D3" s="78" t="s">
        <v>222</v>
      </c>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3"/>
      <c r="E4" s="151"/>
      <c r="F4" s="151"/>
      <c r="G4" s="152"/>
      <c r="H4" s="152"/>
      <c r="I4" s="152"/>
      <c r="J4" s="153"/>
      <c r="K4" s="32"/>
      <c r="L4" s="50"/>
      <c r="M4" s="50"/>
      <c r="N4" s="50"/>
      <c r="O4" s="50"/>
      <c r="P4" s="50"/>
      <c r="Q4" s="50"/>
      <c r="R4" s="50"/>
      <c r="S4" s="50"/>
      <c r="T4" s="50"/>
      <c r="U4" s="50"/>
      <c r="V4" s="50"/>
      <c r="W4" s="50"/>
      <c r="X4" s="50"/>
      <c r="Y4" s="50"/>
      <c r="Z4" s="50"/>
    </row>
    <row r="5" spans="1:26" ht="15.5" x14ac:dyDescent="0.35">
      <c r="A5" s="50"/>
      <c r="B5" s="556" t="s">
        <v>79</v>
      </c>
      <c r="C5" s="546"/>
      <c r="D5" s="534"/>
      <c r="E5" s="81"/>
      <c r="F5" s="81"/>
      <c r="G5" s="81"/>
      <c r="H5" s="81"/>
      <c r="I5" s="81"/>
      <c r="J5" s="82"/>
      <c r="K5" s="32"/>
      <c r="L5" s="50"/>
      <c r="M5" s="50"/>
      <c r="N5" s="50"/>
      <c r="O5" s="50"/>
      <c r="P5" s="50"/>
      <c r="Q5" s="50"/>
      <c r="R5" s="50"/>
      <c r="S5" s="50"/>
      <c r="T5" s="50"/>
      <c r="U5" s="50"/>
      <c r="V5" s="50"/>
      <c r="W5" s="50"/>
      <c r="X5" s="50"/>
      <c r="Y5" s="50"/>
      <c r="Z5" s="50"/>
    </row>
    <row r="6" spans="1:26" ht="40.5" customHeight="1" x14ac:dyDescent="0.35">
      <c r="A6" s="50"/>
      <c r="B6" s="568" t="s">
        <v>223</v>
      </c>
      <c r="C6" s="560"/>
      <c r="D6" s="560"/>
      <c r="E6" s="560"/>
      <c r="F6" s="560"/>
      <c r="G6" s="560"/>
      <c r="H6" s="560"/>
      <c r="I6" s="560"/>
      <c r="J6" s="561"/>
      <c r="K6" s="32"/>
      <c r="L6" s="50"/>
      <c r="M6" s="50"/>
      <c r="N6" s="50"/>
      <c r="O6" s="50"/>
      <c r="P6" s="50"/>
      <c r="Q6" s="50"/>
      <c r="R6" s="50"/>
      <c r="S6" s="50"/>
      <c r="T6" s="50"/>
      <c r="U6" s="50"/>
      <c r="V6" s="50"/>
      <c r="W6" s="50"/>
      <c r="X6" s="50"/>
      <c r="Y6" s="50"/>
      <c r="Z6" s="50"/>
    </row>
    <row r="7" spans="1:26" ht="21.75" customHeight="1" x14ac:dyDescent="0.35">
      <c r="A7" s="50"/>
      <c r="B7" s="556" t="s">
        <v>81</v>
      </c>
      <c r="C7" s="546"/>
      <c r="D7" s="534"/>
      <c r="E7" s="81"/>
      <c r="F7" s="81"/>
      <c r="G7" s="81"/>
      <c r="H7" s="81"/>
      <c r="I7" s="81"/>
      <c r="J7" s="82"/>
      <c r="K7" s="32"/>
      <c r="L7" s="50"/>
      <c r="M7" s="50"/>
      <c r="N7" s="50"/>
      <c r="O7" s="50"/>
      <c r="P7" s="50"/>
      <c r="Q7" s="50"/>
      <c r="R7" s="50"/>
      <c r="S7" s="50"/>
      <c r="T7" s="50"/>
      <c r="U7" s="50"/>
      <c r="V7" s="50"/>
      <c r="W7" s="50"/>
      <c r="X7" s="50"/>
      <c r="Y7" s="50"/>
      <c r="Z7" s="50"/>
    </row>
    <row r="8" spans="1:26" ht="55.5" customHeight="1" x14ac:dyDescent="0.35">
      <c r="A8" s="50"/>
      <c r="B8" s="577" t="s">
        <v>224</v>
      </c>
      <c r="C8" s="538"/>
      <c r="D8" s="538"/>
      <c r="E8" s="538"/>
      <c r="F8" s="538"/>
      <c r="G8" s="538"/>
      <c r="H8" s="538"/>
      <c r="I8" s="538"/>
      <c r="J8" s="541"/>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5"/>
      <c r="J10" s="85"/>
      <c r="K10" s="85"/>
      <c r="L10" s="86"/>
      <c r="M10" s="50"/>
      <c r="N10" s="50"/>
      <c r="O10" s="50"/>
      <c r="P10" s="50"/>
      <c r="Q10" s="50"/>
      <c r="R10" s="50"/>
      <c r="S10" s="50"/>
      <c r="T10" s="50"/>
      <c r="U10" s="50"/>
      <c r="V10" s="50"/>
      <c r="W10" s="50"/>
      <c r="X10" s="50"/>
      <c r="Y10" s="50"/>
      <c r="Z10" s="50"/>
    </row>
    <row r="11" spans="1:26" ht="15.75" customHeight="1" x14ac:dyDescent="0.35">
      <c r="A11" s="50"/>
      <c r="B11" s="87" t="s">
        <v>243</v>
      </c>
      <c r="C11" s="88"/>
      <c r="D11" s="43" t="s">
        <v>237</v>
      </c>
      <c r="E11" s="567" t="s">
        <v>244</v>
      </c>
      <c r="F11" s="546"/>
      <c r="G11" s="546"/>
      <c r="H11" s="546"/>
      <c r="I11" s="546"/>
      <c r="J11" s="546"/>
      <c r="K11" s="546"/>
      <c r="L11" s="558"/>
      <c r="M11" s="50"/>
      <c r="N11" s="50"/>
      <c r="O11" s="50"/>
      <c r="P11" s="50"/>
      <c r="Q11" s="50"/>
      <c r="R11" s="50"/>
      <c r="S11" s="50"/>
      <c r="T11" s="50"/>
      <c r="U11" s="50"/>
      <c r="V11" s="50"/>
      <c r="W11" s="50"/>
      <c r="X11" s="50"/>
      <c r="Y11" s="50"/>
      <c r="Z11" s="50"/>
    </row>
    <row r="12" spans="1:26" ht="15.75" customHeight="1" x14ac:dyDescent="0.35">
      <c r="A12" s="50"/>
      <c r="B12" s="89" t="s">
        <v>165</v>
      </c>
      <c r="C12" s="88" t="s">
        <v>94</v>
      </c>
      <c r="D12" s="90">
        <v>1000</v>
      </c>
      <c r="E12" s="204"/>
      <c r="F12" s="204"/>
      <c r="G12" s="91"/>
      <c r="H12" s="91"/>
      <c r="I12" s="91"/>
      <c r="J12" s="91"/>
      <c r="K12" s="91"/>
      <c r="L12" s="92"/>
      <c r="M12" s="50"/>
      <c r="N12" s="50"/>
      <c r="O12" s="50"/>
      <c r="P12" s="50"/>
      <c r="Q12" s="50"/>
      <c r="R12" s="50"/>
      <c r="S12" s="50"/>
      <c r="T12" s="50"/>
      <c r="U12" s="50"/>
      <c r="V12" s="50"/>
      <c r="W12" s="50"/>
      <c r="X12" s="50"/>
      <c r="Y12" s="50"/>
      <c r="Z12" s="50"/>
    </row>
    <row r="13" spans="1:26" ht="15.75" customHeight="1" x14ac:dyDescent="0.35">
      <c r="A13" s="50"/>
      <c r="B13" s="89" t="s">
        <v>166</v>
      </c>
      <c r="C13" s="88" t="s">
        <v>94</v>
      </c>
      <c r="D13" s="90">
        <v>1000</v>
      </c>
      <c r="E13" s="204"/>
      <c r="F13" s="204"/>
      <c r="G13" s="91"/>
      <c r="H13" s="91"/>
      <c r="I13" s="91"/>
      <c r="J13" s="91"/>
      <c r="K13" s="91"/>
      <c r="L13" s="92"/>
      <c r="M13" s="50"/>
      <c r="N13" s="50"/>
      <c r="O13" s="50"/>
      <c r="P13" s="50"/>
      <c r="Q13" s="50"/>
      <c r="R13" s="50"/>
      <c r="S13" s="50"/>
      <c r="T13" s="50"/>
      <c r="U13" s="50"/>
      <c r="V13" s="50"/>
      <c r="W13" s="50"/>
      <c r="X13" s="50"/>
      <c r="Y13" s="50"/>
      <c r="Z13" s="50"/>
    </row>
    <row r="14" spans="1:26" ht="15.75" customHeight="1" x14ac:dyDescent="0.35">
      <c r="A14" s="50"/>
      <c r="B14" s="89" t="s">
        <v>167</v>
      </c>
      <c r="C14" s="88" t="s">
        <v>94</v>
      </c>
      <c r="D14" s="90">
        <v>1000</v>
      </c>
      <c r="E14" s="204"/>
      <c r="F14" s="204"/>
      <c r="G14" s="91"/>
      <c r="H14" s="91"/>
      <c r="I14" s="91"/>
      <c r="J14" s="91"/>
      <c r="K14" s="91"/>
      <c r="L14" s="92"/>
      <c r="M14" s="50"/>
      <c r="N14" s="50"/>
      <c r="O14" s="50"/>
      <c r="P14" s="50"/>
      <c r="Q14" s="50"/>
      <c r="R14" s="50"/>
      <c r="S14" s="50"/>
      <c r="T14" s="50"/>
      <c r="U14" s="50"/>
      <c r="V14" s="50"/>
      <c r="W14" s="50"/>
      <c r="X14" s="50"/>
      <c r="Y14" s="50"/>
      <c r="Z14" s="50"/>
    </row>
    <row r="15" spans="1:26" ht="15.75" customHeight="1" x14ac:dyDescent="0.35">
      <c r="A15" s="50"/>
      <c r="B15" s="89" t="s">
        <v>169</v>
      </c>
      <c r="C15" s="88" t="s">
        <v>94</v>
      </c>
      <c r="D15" s="90">
        <v>1000</v>
      </c>
      <c r="E15" s="204"/>
      <c r="F15" s="204"/>
      <c r="G15" s="91"/>
      <c r="H15" s="91"/>
      <c r="I15" s="91"/>
      <c r="J15" s="91"/>
      <c r="K15" s="91"/>
      <c r="L15" s="92"/>
      <c r="M15" s="50"/>
      <c r="N15" s="50"/>
      <c r="O15" s="50"/>
      <c r="P15" s="50"/>
      <c r="Q15" s="50"/>
      <c r="R15" s="50"/>
      <c r="S15" s="50"/>
      <c r="T15" s="50"/>
      <c r="U15" s="50"/>
      <c r="V15" s="50"/>
      <c r="W15" s="50"/>
      <c r="X15" s="50"/>
      <c r="Y15" s="50"/>
      <c r="Z15" s="50"/>
    </row>
    <row r="16" spans="1:26" ht="15.75" customHeight="1" x14ac:dyDescent="0.35">
      <c r="A16" s="50"/>
      <c r="B16" s="89" t="s">
        <v>170</v>
      </c>
      <c r="C16" s="88" t="s">
        <v>94</v>
      </c>
      <c r="D16" s="90">
        <v>1000</v>
      </c>
      <c r="E16" s="204"/>
      <c r="F16" s="204"/>
      <c r="G16" s="91"/>
      <c r="H16" s="91"/>
      <c r="I16" s="91"/>
      <c r="J16" s="91"/>
      <c r="K16" s="91"/>
      <c r="L16" s="92"/>
      <c r="M16" s="50"/>
      <c r="N16" s="50"/>
      <c r="O16" s="50"/>
      <c r="P16" s="50"/>
      <c r="Q16" s="50"/>
      <c r="R16" s="50"/>
      <c r="S16" s="50"/>
      <c r="T16" s="50"/>
      <c r="U16" s="50"/>
      <c r="V16" s="50"/>
      <c r="W16" s="50"/>
      <c r="X16" s="50"/>
      <c r="Y16" s="50"/>
      <c r="Z16" s="50"/>
    </row>
    <row r="17" spans="1:26" ht="15.75" customHeight="1" x14ac:dyDescent="0.35">
      <c r="A17" s="50"/>
      <c r="B17" s="89" t="s">
        <v>171</v>
      </c>
      <c r="C17" s="88" t="s">
        <v>94</v>
      </c>
      <c r="D17" s="90">
        <v>1000</v>
      </c>
      <c r="E17" s="204"/>
      <c r="F17" s="204"/>
      <c r="G17" s="91"/>
      <c r="H17" s="91"/>
      <c r="I17" s="91"/>
      <c r="J17" s="91"/>
      <c r="K17" s="91"/>
      <c r="L17" s="92"/>
      <c r="M17" s="50"/>
      <c r="N17" s="50"/>
      <c r="O17" s="50"/>
      <c r="P17" s="50"/>
      <c r="Q17" s="50"/>
      <c r="R17" s="50"/>
      <c r="S17" s="50"/>
      <c r="T17" s="50"/>
      <c r="U17" s="50"/>
      <c r="V17" s="50"/>
      <c r="W17" s="50"/>
      <c r="X17" s="50"/>
      <c r="Y17" s="50"/>
      <c r="Z17" s="50"/>
    </row>
    <row r="18" spans="1:26" ht="15.75" customHeight="1" x14ac:dyDescent="0.35">
      <c r="A18" s="50"/>
      <c r="B18" s="89" t="s">
        <v>172</v>
      </c>
      <c r="C18" s="88" t="s">
        <v>94</v>
      </c>
      <c r="D18" s="90">
        <v>1000</v>
      </c>
      <c r="E18" s="204"/>
      <c r="F18" s="204"/>
      <c r="G18" s="91"/>
      <c r="H18" s="91"/>
      <c r="I18" s="91"/>
      <c r="J18" s="91"/>
      <c r="K18" s="91"/>
      <c r="L18" s="92"/>
      <c r="M18" s="50"/>
      <c r="N18" s="50"/>
      <c r="O18" s="50"/>
      <c r="P18" s="50"/>
      <c r="Q18" s="50"/>
      <c r="R18" s="50"/>
      <c r="S18" s="50"/>
      <c r="T18" s="50"/>
      <c r="U18" s="50"/>
      <c r="V18" s="50"/>
      <c r="W18" s="50"/>
      <c r="X18" s="50"/>
      <c r="Y18" s="50"/>
      <c r="Z18" s="50"/>
    </row>
    <row r="19" spans="1:26" ht="15.75" customHeight="1" x14ac:dyDescent="0.35">
      <c r="A19" s="50"/>
      <c r="B19" s="89" t="s">
        <v>173</v>
      </c>
      <c r="C19" s="88" t="s">
        <v>94</v>
      </c>
      <c r="D19" s="90">
        <v>1000</v>
      </c>
      <c r="E19" s="204"/>
      <c r="F19" s="204"/>
      <c r="G19" s="91"/>
      <c r="H19" s="91"/>
      <c r="I19" s="91"/>
      <c r="J19" s="91"/>
      <c r="K19" s="91"/>
      <c r="L19" s="92"/>
      <c r="M19" s="50"/>
      <c r="N19" s="50"/>
      <c r="O19" s="50"/>
      <c r="P19" s="50"/>
      <c r="Q19" s="50"/>
      <c r="R19" s="50"/>
      <c r="S19" s="50"/>
      <c r="T19" s="50"/>
      <c r="U19" s="50"/>
      <c r="V19" s="50"/>
      <c r="W19" s="50"/>
      <c r="X19" s="50"/>
      <c r="Y19" s="50"/>
      <c r="Z19" s="50"/>
    </row>
    <row r="20" spans="1:26" ht="15.75" customHeight="1" x14ac:dyDescent="0.35">
      <c r="A20" s="50"/>
      <c r="B20" s="89" t="s">
        <v>174</v>
      </c>
      <c r="C20" s="88" t="s">
        <v>94</v>
      </c>
      <c r="D20" s="90">
        <v>1000</v>
      </c>
      <c r="E20" s="204"/>
      <c r="F20" s="204"/>
      <c r="G20" s="91"/>
      <c r="H20" s="91"/>
      <c r="I20" s="91"/>
      <c r="J20" s="91"/>
      <c r="K20" s="91"/>
      <c r="L20" s="92"/>
      <c r="M20" s="50"/>
      <c r="N20" s="50"/>
      <c r="O20" s="50"/>
      <c r="P20" s="50"/>
      <c r="Q20" s="50"/>
      <c r="R20" s="50"/>
      <c r="S20" s="50"/>
      <c r="T20" s="50"/>
      <c r="U20" s="50"/>
      <c r="V20" s="50"/>
      <c r="W20" s="50"/>
      <c r="X20" s="50"/>
      <c r="Y20" s="50"/>
      <c r="Z20" s="50"/>
    </row>
    <row r="21" spans="1:26" ht="15.75" customHeight="1" x14ac:dyDescent="0.35">
      <c r="A21" s="50"/>
      <c r="B21" s="89" t="s">
        <v>175</v>
      </c>
      <c r="C21" s="88" t="s">
        <v>94</v>
      </c>
      <c r="D21" s="90">
        <v>1000</v>
      </c>
      <c r="E21" s="204"/>
      <c r="F21" s="204"/>
      <c r="G21" s="91"/>
      <c r="H21" s="91"/>
      <c r="I21" s="91"/>
      <c r="J21" s="91"/>
      <c r="K21" s="91"/>
      <c r="L21" s="92"/>
      <c r="M21" s="50"/>
      <c r="N21" s="50"/>
      <c r="O21" s="50"/>
      <c r="P21" s="50"/>
      <c r="Q21" s="50"/>
      <c r="R21" s="50"/>
      <c r="S21" s="50"/>
      <c r="T21" s="50"/>
      <c r="U21" s="50"/>
      <c r="V21" s="50"/>
      <c r="W21" s="50"/>
      <c r="X21" s="50"/>
      <c r="Y21" s="50"/>
      <c r="Z21" s="50"/>
    </row>
    <row r="22" spans="1:26" ht="15.75" customHeight="1" x14ac:dyDescent="0.35">
      <c r="A22" s="50"/>
      <c r="B22" s="89" t="s">
        <v>176</v>
      </c>
      <c r="C22" s="88" t="s">
        <v>94</v>
      </c>
      <c r="D22" s="90">
        <v>1000</v>
      </c>
      <c r="E22" s="204"/>
      <c r="F22" s="204"/>
      <c r="G22" s="91"/>
      <c r="H22" s="91"/>
      <c r="I22" s="91"/>
      <c r="J22" s="91"/>
      <c r="K22" s="91"/>
      <c r="L22" s="92"/>
      <c r="M22" s="50"/>
      <c r="N22" s="50"/>
      <c r="O22" s="50"/>
      <c r="P22" s="50"/>
      <c r="Q22" s="50"/>
      <c r="R22" s="50"/>
      <c r="S22" s="50"/>
      <c r="T22" s="50"/>
      <c r="U22" s="50"/>
      <c r="V22" s="50"/>
      <c r="W22" s="50"/>
      <c r="X22" s="50"/>
      <c r="Y22" s="50"/>
      <c r="Z22" s="50"/>
    </row>
    <row r="23" spans="1:26" ht="15.75" customHeight="1" x14ac:dyDescent="0.35">
      <c r="A23" s="50"/>
      <c r="B23" s="93" t="s">
        <v>65</v>
      </c>
      <c r="C23" s="88" t="s">
        <v>94</v>
      </c>
      <c r="D23" s="94">
        <f>SUM(D12:D22)</f>
        <v>11000</v>
      </c>
      <c r="E23" s="94"/>
      <c r="F23" s="94"/>
      <c r="G23" s="91"/>
      <c r="H23" s="91"/>
      <c r="I23" s="91"/>
      <c r="J23" s="91"/>
      <c r="K23" s="91"/>
      <c r="L23" s="92"/>
      <c r="M23" s="50"/>
      <c r="N23" s="50"/>
      <c r="O23" s="50"/>
      <c r="P23" s="50"/>
      <c r="Q23" s="50"/>
      <c r="R23" s="50"/>
      <c r="S23" s="50"/>
      <c r="T23" s="50"/>
      <c r="U23" s="50"/>
      <c r="V23" s="50"/>
      <c r="W23" s="50"/>
      <c r="X23" s="50"/>
      <c r="Y23" s="50"/>
      <c r="Z23" s="50"/>
    </row>
    <row r="24" spans="1:26" ht="40.5" customHeight="1" x14ac:dyDescent="0.35">
      <c r="A24" s="50"/>
      <c r="B24" s="87" t="s">
        <v>245</v>
      </c>
      <c r="C24" s="88"/>
      <c r="D24" s="43" t="s">
        <v>89</v>
      </c>
      <c r="E24" s="42" t="s">
        <v>90</v>
      </c>
      <c r="F24" s="42" t="s">
        <v>91</v>
      </c>
      <c r="G24" s="563" t="s">
        <v>228</v>
      </c>
      <c r="H24" s="546"/>
      <c r="I24" s="546"/>
      <c r="J24" s="546"/>
      <c r="K24" s="546"/>
      <c r="L24" s="558"/>
      <c r="M24" s="50"/>
      <c r="N24" s="50"/>
      <c r="O24" s="50"/>
      <c r="P24" s="50"/>
      <c r="Q24" s="50"/>
      <c r="R24" s="50"/>
      <c r="S24" s="50"/>
      <c r="T24" s="50"/>
      <c r="U24" s="50"/>
      <c r="V24" s="50"/>
      <c r="W24" s="50"/>
      <c r="X24" s="50"/>
      <c r="Y24" s="50"/>
      <c r="Z24" s="50"/>
    </row>
    <row r="25" spans="1:26" ht="15.75" customHeight="1" x14ac:dyDescent="0.35">
      <c r="A25" s="50"/>
      <c r="B25" s="89" t="s">
        <v>165</v>
      </c>
      <c r="C25" s="88" t="s">
        <v>109</v>
      </c>
      <c r="D25" s="97">
        <v>0.01</v>
      </c>
      <c r="E25" s="97">
        <v>0</v>
      </c>
      <c r="F25" s="97">
        <v>0</v>
      </c>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89" t="s">
        <v>166</v>
      </c>
      <c r="C26" s="88" t="s">
        <v>109</v>
      </c>
      <c r="D26" s="97">
        <v>0.01</v>
      </c>
      <c r="E26" s="97">
        <v>0</v>
      </c>
      <c r="F26" s="97">
        <v>0</v>
      </c>
      <c r="G26" s="91"/>
      <c r="H26" s="91"/>
      <c r="I26" s="91"/>
      <c r="J26" s="91"/>
      <c r="K26" s="91"/>
      <c r="L26" s="92"/>
      <c r="M26" s="50"/>
      <c r="N26" s="50"/>
      <c r="O26" s="50"/>
      <c r="P26" s="50"/>
      <c r="Q26" s="50"/>
      <c r="R26" s="50"/>
      <c r="S26" s="50"/>
      <c r="T26" s="50"/>
      <c r="U26" s="50"/>
      <c r="V26" s="50"/>
      <c r="W26" s="50"/>
      <c r="X26" s="50"/>
      <c r="Y26" s="50"/>
      <c r="Z26" s="50"/>
    </row>
    <row r="27" spans="1:26" ht="15.75" customHeight="1" x14ac:dyDescent="0.35">
      <c r="A27" s="50"/>
      <c r="B27" s="89" t="s">
        <v>167</v>
      </c>
      <c r="C27" s="88" t="s">
        <v>109</v>
      </c>
      <c r="D27" s="97">
        <v>0</v>
      </c>
      <c r="E27" s="97">
        <v>0.01</v>
      </c>
      <c r="F27" s="97">
        <v>0</v>
      </c>
      <c r="G27" s="91"/>
      <c r="H27" s="91"/>
      <c r="I27" s="91"/>
      <c r="J27" s="91"/>
      <c r="K27" s="91"/>
      <c r="L27" s="92"/>
      <c r="M27" s="50"/>
      <c r="N27" s="50"/>
      <c r="O27" s="50"/>
      <c r="P27" s="50"/>
      <c r="Q27" s="50"/>
      <c r="R27" s="50"/>
      <c r="S27" s="50"/>
      <c r="T27" s="50"/>
      <c r="U27" s="50"/>
      <c r="V27" s="50"/>
      <c r="W27" s="50"/>
      <c r="X27" s="50"/>
      <c r="Y27" s="50"/>
      <c r="Z27" s="50"/>
    </row>
    <row r="28" spans="1:26" ht="15.75" customHeight="1" x14ac:dyDescent="0.35">
      <c r="A28" s="50"/>
      <c r="B28" s="89" t="s">
        <v>169</v>
      </c>
      <c r="C28" s="88" t="s">
        <v>109</v>
      </c>
      <c r="D28" s="97">
        <v>0.01</v>
      </c>
      <c r="E28" s="97">
        <v>0</v>
      </c>
      <c r="F28" s="97">
        <v>0</v>
      </c>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89" t="s">
        <v>170</v>
      </c>
      <c r="C29" s="88" t="s">
        <v>109</v>
      </c>
      <c r="D29" s="97">
        <v>0.01</v>
      </c>
      <c r="E29" s="97">
        <v>0</v>
      </c>
      <c r="F29" s="97">
        <v>0</v>
      </c>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89" t="s">
        <v>171</v>
      </c>
      <c r="C30" s="88" t="s">
        <v>109</v>
      </c>
      <c r="D30" s="97">
        <v>0</v>
      </c>
      <c r="E30" s="97">
        <v>0</v>
      </c>
      <c r="F30" s="97">
        <v>0.01</v>
      </c>
      <c r="G30" s="91"/>
      <c r="H30" s="91"/>
      <c r="I30" s="91"/>
      <c r="J30" s="91"/>
      <c r="K30" s="91"/>
      <c r="L30" s="92"/>
      <c r="M30" s="50"/>
      <c r="N30" s="50"/>
      <c r="O30" s="50"/>
      <c r="P30" s="50"/>
      <c r="Q30" s="50"/>
      <c r="R30" s="50"/>
      <c r="S30" s="50"/>
      <c r="T30" s="50"/>
      <c r="U30" s="50"/>
      <c r="V30" s="50"/>
      <c r="W30" s="50"/>
      <c r="X30" s="50"/>
      <c r="Y30" s="50"/>
      <c r="Z30" s="50"/>
    </row>
    <row r="31" spans="1:26" ht="15.75" customHeight="1" x14ac:dyDescent="0.35">
      <c r="A31" s="50"/>
      <c r="B31" s="89" t="s">
        <v>172</v>
      </c>
      <c r="C31" s="88" t="s">
        <v>109</v>
      </c>
      <c r="D31" s="97">
        <v>0</v>
      </c>
      <c r="E31" s="97">
        <v>0</v>
      </c>
      <c r="F31" s="97">
        <v>0.01</v>
      </c>
      <c r="G31" s="91"/>
      <c r="H31" s="91"/>
      <c r="I31" s="91"/>
      <c r="J31" s="91"/>
      <c r="K31" s="91"/>
      <c r="L31" s="92"/>
      <c r="M31" s="50"/>
      <c r="N31" s="50"/>
      <c r="O31" s="50"/>
      <c r="P31" s="50"/>
      <c r="Q31" s="50"/>
      <c r="R31" s="50"/>
      <c r="S31" s="50"/>
      <c r="T31" s="50"/>
      <c r="U31" s="50"/>
      <c r="V31" s="50"/>
      <c r="W31" s="50"/>
      <c r="X31" s="50"/>
      <c r="Y31" s="50"/>
      <c r="Z31" s="50"/>
    </row>
    <row r="32" spans="1:26" ht="15.75" customHeight="1" x14ac:dyDescent="0.35">
      <c r="A32" s="50"/>
      <c r="B32" s="89" t="s">
        <v>173</v>
      </c>
      <c r="C32" s="88" t="s">
        <v>109</v>
      </c>
      <c r="D32" s="97">
        <v>0</v>
      </c>
      <c r="E32" s="97">
        <v>0</v>
      </c>
      <c r="F32" s="97">
        <v>0.01</v>
      </c>
      <c r="G32" s="91"/>
      <c r="H32" s="91"/>
      <c r="I32" s="91"/>
      <c r="J32" s="91"/>
      <c r="K32" s="91"/>
      <c r="L32" s="92"/>
      <c r="M32" s="50"/>
      <c r="N32" s="50"/>
      <c r="O32" s="50"/>
      <c r="P32" s="50"/>
      <c r="Q32" s="50"/>
      <c r="R32" s="50"/>
      <c r="S32" s="50"/>
      <c r="T32" s="50"/>
      <c r="U32" s="50"/>
      <c r="V32" s="50"/>
      <c r="W32" s="50"/>
      <c r="X32" s="50"/>
      <c r="Y32" s="50"/>
      <c r="Z32" s="50"/>
    </row>
    <row r="33" spans="1:26" ht="15.75" customHeight="1" x14ac:dyDescent="0.35">
      <c r="A33" s="50"/>
      <c r="B33" s="89" t="s">
        <v>174</v>
      </c>
      <c r="C33" s="88" t="s">
        <v>109</v>
      </c>
      <c r="D33" s="97">
        <v>0</v>
      </c>
      <c r="E33" s="97">
        <v>0</v>
      </c>
      <c r="F33" s="97">
        <v>0.01</v>
      </c>
      <c r="G33" s="91"/>
      <c r="H33" s="91"/>
      <c r="I33" s="91"/>
      <c r="J33" s="91"/>
      <c r="K33" s="91"/>
      <c r="L33" s="92"/>
      <c r="M33" s="50"/>
      <c r="N33" s="50"/>
      <c r="O33" s="50"/>
      <c r="P33" s="50"/>
      <c r="Q33" s="50"/>
      <c r="R33" s="50"/>
      <c r="S33" s="50"/>
      <c r="T33" s="50"/>
      <c r="U33" s="50"/>
      <c r="V33" s="50"/>
      <c r="W33" s="50"/>
      <c r="X33" s="50"/>
      <c r="Y33" s="50"/>
      <c r="Z33" s="50"/>
    </row>
    <row r="34" spans="1:26" ht="15.75" customHeight="1" x14ac:dyDescent="0.35">
      <c r="A34" s="50"/>
      <c r="B34" s="89" t="s">
        <v>175</v>
      </c>
      <c r="C34" s="88" t="s">
        <v>109</v>
      </c>
      <c r="D34" s="97">
        <v>0</v>
      </c>
      <c r="E34" s="97">
        <v>0</v>
      </c>
      <c r="F34" s="97">
        <v>0.01</v>
      </c>
      <c r="G34" s="91"/>
      <c r="H34" s="91"/>
      <c r="I34" s="91"/>
      <c r="J34" s="91"/>
      <c r="K34" s="91"/>
      <c r="L34" s="92"/>
      <c r="M34" s="50"/>
      <c r="N34" s="50"/>
      <c r="O34" s="50"/>
      <c r="P34" s="50"/>
      <c r="Q34" s="50"/>
      <c r="R34" s="50"/>
      <c r="S34" s="50"/>
      <c r="T34" s="50"/>
      <c r="U34" s="50"/>
      <c r="V34" s="50"/>
      <c r="W34" s="50"/>
      <c r="X34" s="50"/>
      <c r="Y34" s="50"/>
      <c r="Z34" s="50"/>
    </row>
    <row r="35" spans="1:26" ht="15.75" customHeight="1" x14ac:dyDescent="0.35">
      <c r="A35" s="50"/>
      <c r="B35" s="89" t="s">
        <v>176</v>
      </c>
      <c r="C35" s="88" t="s">
        <v>109</v>
      </c>
      <c r="D35" s="97">
        <v>0</v>
      </c>
      <c r="E35" s="97">
        <v>0</v>
      </c>
      <c r="F35" s="97">
        <v>0.01</v>
      </c>
      <c r="G35" s="91"/>
      <c r="H35" s="91"/>
      <c r="I35" s="91"/>
      <c r="J35" s="91"/>
      <c r="K35" s="91"/>
      <c r="L35" s="92"/>
      <c r="M35" s="50"/>
      <c r="N35" s="50"/>
      <c r="O35" s="50"/>
      <c r="P35" s="50"/>
      <c r="Q35" s="50"/>
      <c r="R35" s="50"/>
      <c r="S35" s="50"/>
      <c r="T35" s="50"/>
      <c r="U35" s="50"/>
      <c r="V35" s="50"/>
      <c r="W35" s="50"/>
      <c r="X35" s="50"/>
      <c r="Y35" s="50"/>
      <c r="Z35" s="50"/>
    </row>
    <row r="36" spans="1:26" ht="15.75" customHeight="1" x14ac:dyDescent="0.35">
      <c r="A36" s="50"/>
      <c r="B36" s="87" t="s">
        <v>246</v>
      </c>
      <c r="C36" s="88"/>
      <c r="D36" s="43"/>
      <c r="E36" s="563" t="s">
        <v>230</v>
      </c>
      <c r="F36" s="546"/>
      <c r="G36" s="546"/>
      <c r="H36" s="546"/>
      <c r="I36" s="546"/>
      <c r="J36" s="546"/>
      <c r="K36" s="534"/>
      <c r="L36" s="92"/>
      <c r="M36" s="50"/>
      <c r="N36" s="50"/>
      <c r="O36" s="50"/>
      <c r="P36" s="50"/>
      <c r="Q36" s="50"/>
      <c r="R36" s="50"/>
      <c r="S36" s="50"/>
      <c r="T36" s="50"/>
      <c r="U36" s="50"/>
      <c r="V36" s="50"/>
      <c r="W36" s="50"/>
      <c r="X36" s="50"/>
      <c r="Y36" s="50"/>
      <c r="Z36" s="50"/>
    </row>
    <row r="37" spans="1:26" ht="15.75" customHeight="1" x14ac:dyDescent="0.35">
      <c r="A37" s="50"/>
      <c r="B37" s="89" t="s">
        <v>165</v>
      </c>
      <c r="C37" s="88"/>
      <c r="D37" s="206">
        <v>0.64</v>
      </c>
      <c r="E37" s="207"/>
      <c r="F37" s="207"/>
      <c r="G37" s="91"/>
      <c r="H37" s="91"/>
      <c r="I37" s="91"/>
      <c r="J37" s="91"/>
      <c r="K37" s="91"/>
      <c r="L37" s="92"/>
      <c r="M37" s="50"/>
      <c r="N37" s="50"/>
      <c r="O37" s="50"/>
      <c r="P37" s="50"/>
      <c r="Q37" s="50"/>
      <c r="R37" s="50"/>
      <c r="S37" s="50"/>
      <c r="T37" s="50"/>
      <c r="U37" s="50"/>
      <c r="V37" s="50"/>
      <c r="W37" s="50"/>
      <c r="X37" s="50"/>
      <c r="Y37" s="50"/>
      <c r="Z37" s="50"/>
    </row>
    <row r="38" spans="1:26" ht="15.75" customHeight="1" x14ac:dyDescent="0.35">
      <c r="A38" s="50"/>
      <c r="B38" s="89" t="s">
        <v>166</v>
      </c>
      <c r="C38" s="88"/>
      <c r="D38" s="206">
        <v>0.3</v>
      </c>
      <c r="E38" s="207"/>
      <c r="F38" s="207"/>
      <c r="G38" s="91"/>
      <c r="H38" s="91"/>
      <c r="I38" s="91"/>
      <c r="J38" s="91"/>
      <c r="K38" s="91"/>
      <c r="L38" s="92"/>
      <c r="M38" s="50"/>
      <c r="N38" s="50"/>
      <c r="O38" s="50"/>
      <c r="P38" s="50"/>
      <c r="Q38" s="50"/>
      <c r="R38" s="50"/>
      <c r="S38" s="50"/>
      <c r="T38" s="50"/>
      <c r="U38" s="50"/>
      <c r="V38" s="50"/>
      <c r="W38" s="50"/>
      <c r="X38" s="50"/>
      <c r="Y38" s="50"/>
      <c r="Z38" s="50"/>
    </row>
    <row r="39" spans="1:26" ht="15.75" customHeight="1" x14ac:dyDescent="0.35">
      <c r="A39" s="50"/>
      <c r="B39" s="89" t="s">
        <v>167</v>
      </c>
      <c r="C39" s="88"/>
      <c r="D39" s="206">
        <v>0.37</v>
      </c>
      <c r="E39" s="91" t="s">
        <v>240</v>
      </c>
      <c r="F39" s="207"/>
      <c r="G39" s="91"/>
      <c r="H39" s="91"/>
      <c r="I39" s="91"/>
      <c r="J39" s="91"/>
      <c r="K39" s="91"/>
      <c r="L39" s="92"/>
      <c r="M39" s="50"/>
      <c r="N39" s="50"/>
      <c r="O39" s="50"/>
      <c r="P39" s="50"/>
      <c r="Q39" s="50"/>
      <c r="R39" s="50"/>
      <c r="S39" s="50"/>
      <c r="T39" s="50"/>
      <c r="U39" s="50"/>
      <c r="V39" s="50"/>
      <c r="W39" s="50"/>
      <c r="X39" s="50"/>
      <c r="Y39" s="50"/>
      <c r="Z39" s="50"/>
    </row>
    <row r="40" spans="1:26" ht="15.75" customHeight="1" x14ac:dyDescent="0.35">
      <c r="A40" s="50"/>
      <c r="B40" s="89" t="s">
        <v>169</v>
      </c>
      <c r="C40" s="88"/>
      <c r="D40" s="213">
        <v>0.37</v>
      </c>
      <c r="E40" s="91" t="s">
        <v>240</v>
      </c>
      <c r="F40" s="207"/>
      <c r="G40" s="91"/>
      <c r="H40" s="91"/>
      <c r="I40" s="91"/>
      <c r="J40" s="91"/>
      <c r="K40" s="91"/>
      <c r="L40" s="92"/>
      <c r="M40" s="50"/>
      <c r="N40" s="50"/>
      <c r="O40" s="50"/>
      <c r="P40" s="50"/>
      <c r="Q40" s="50"/>
      <c r="R40" s="50"/>
      <c r="S40" s="50"/>
      <c r="T40" s="50"/>
      <c r="U40" s="50"/>
      <c r="V40" s="50"/>
      <c r="W40" s="50"/>
      <c r="X40" s="50"/>
      <c r="Y40" s="50"/>
      <c r="Z40" s="50"/>
    </row>
    <row r="41" spans="1:26" ht="15.75" customHeight="1" x14ac:dyDescent="0.35">
      <c r="A41" s="50"/>
      <c r="B41" s="89" t="s">
        <v>170</v>
      </c>
      <c r="C41" s="88"/>
      <c r="D41" s="213">
        <v>0.37</v>
      </c>
      <c r="E41" s="91" t="s">
        <v>240</v>
      </c>
      <c r="F41" s="207"/>
      <c r="G41" s="91"/>
      <c r="H41" s="91"/>
      <c r="I41" s="91"/>
      <c r="J41" s="91"/>
      <c r="K41" s="91"/>
      <c r="L41" s="92"/>
      <c r="M41" s="50"/>
      <c r="N41" s="50"/>
      <c r="O41" s="50"/>
      <c r="P41" s="50"/>
      <c r="Q41" s="50"/>
      <c r="R41" s="50"/>
      <c r="S41" s="50"/>
      <c r="T41" s="50"/>
      <c r="U41" s="50"/>
      <c r="V41" s="50"/>
      <c r="W41" s="50"/>
      <c r="X41" s="50"/>
      <c r="Y41" s="50"/>
      <c r="Z41" s="50"/>
    </row>
    <row r="42" spans="1:26" ht="15.75" customHeight="1" x14ac:dyDescent="0.35">
      <c r="A42" s="50"/>
      <c r="B42" s="89" t="s">
        <v>171</v>
      </c>
      <c r="C42" s="88"/>
      <c r="D42" s="213">
        <v>0.37</v>
      </c>
      <c r="E42" s="91" t="s">
        <v>240</v>
      </c>
      <c r="F42" s="207"/>
      <c r="G42" s="91"/>
      <c r="H42" s="91"/>
      <c r="I42" s="91"/>
      <c r="J42" s="91"/>
      <c r="K42" s="91"/>
      <c r="L42" s="92"/>
      <c r="M42" s="50"/>
      <c r="N42" s="50"/>
      <c r="O42" s="50"/>
      <c r="P42" s="50"/>
      <c r="Q42" s="50"/>
      <c r="R42" s="50"/>
      <c r="S42" s="50"/>
      <c r="T42" s="50"/>
      <c r="U42" s="50"/>
      <c r="V42" s="50"/>
      <c r="W42" s="50"/>
      <c r="X42" s="50"/>
      <c r="Y42" s="50"/>
      <c r="Z42" s="50"/>
    </row>
    <row r="43" spans="1:26" ht="15.75" customHeight="1" x14ac:dyDescent="0.35">
      <c r="A43" s="50"/>
      <c r="B43" s="89" t="s">
        <v>172</v>
      </c>
      <c r="C43" s="88"/>
      <c r="D43" s="213">
        <v>0.54</v>
      </c>
      <c r="E43" s="207"/>
      <c r="F43" s="207"/>
      <c r="G43" s="91"/>
      <c r="H43" s="91"/>
      <c r="I43" s="91"/>
      <c r="J43" s="91"/>
      <c r="K43" s="91"/>
      <c r="L43" s="92"/>
      <c r="M43" s="50"/>
      <c r="N43" s="50"/>
      <c r="O43" s="50"/>
      <c r="P43" s="50"/>
      <c r="Q43" s="50"/>
      <c r="R43" s="50"/>
      <c r="S43" s="50"/>
      <c r="T43" s="50"/>
      <c r="U43" s="50"/>
      <c r="V43" s="50"/>
      <c r="W43" s="50"/>
      <c r="X43" s="50"/>
      <c r="Y43" s="50"/>
      <c r="Z43" s="50"/>
    </row>
    <row r="44" spans="1:26" ht="15.75" customHeight="1" x14ac:dyDescent="0.35">
      <c r="A44" s="50"/>
      <c r="B44" s="89" t="s">
        <v>173</v>
      </c>
      <c r="C44" s="88"/>
      <c r="D44" s="206">
        <v>0.41</v>
      </c>
      <c r="E44" s="207"/>
      <c r="F44" s="207"/>
      <c r="G44" s="91"/>
      <c r="H44" s="91"/>
      <c r="I44" s="91"/>
      <c r="J44" s="91"/>
      <c r="K44" s="91"/>
      <c r="L44" s="92"/>
      <c r="M44" s="50"/>
      <c r="N44" s="50"/>
      <c r="O44" s="50"/>
      <c r="P44" s="50"/>
      <c r="Q44" s="50"/>
      <c r="R44" s="50"/>
      <c r="S44" s="50"/>
      <c r="T44" s="50"/>
      <c r="U44" s="50"/>
      <c r="V44" s="50"/>
      <c r="W44" s="50"/>
      <c r="X44" s="50"/>
      <c r="Y44" s="50"/>
      <c r="Z44" s="50"/>
    </row>
    <row r="45" spans="1:26" ht="15.75" customHeight="1" x14ac:dyDescent="0.35">
      <c r="A45" s="50"/>
      <c r="B45" s="89" t="s">
        <v>174</v>
      </c>
      <c r="C45" s="88"/>
      <c r="D45" s="213">
        <v>0.37</v>
      </c>
      <c r="E45" s="91" t="s">
        <v>240</v>
      </c>
      <c r="F45" s="207"/>
      <c r="G45" s="91"/>
      <c r="H45" s="91"/>
      <c r="I45" s="91"/>
      <c r="J45" s="91"/>
      <c r="K45" s="91"/>
      <c r="L45" s="92"/>
      <c r="M45" s="50"/>
      <c r="N45" s="50"/>
      <c r="O45" s="50"/>
      <c r="P45" s="50"/>
      <c r="Q45" s="50"/>
      <c r="R45" s="50"/>
      <c r="S45" s="50"/>
      <c r="T45" s="50"/>
      <c r="U45" s="50"/>
      <c r="V45" s="50"/>
      <c r="W45" s="50"/>
      <c r="X45" s="50"/>
      <c r="Y45" s="50"/>
      <c r="Z45" s="50"/>
    </row>
    <row r="46" spans="1:26" ht="15.75" customHeight="1" x14ac:dyDescent="0.35">
      <c r="A46" s="50"/>
      <c r="B46" s="89" t="s">
        <v>175</v>
      </c>
      <c r="C46" s="88"/>
      <c r="D46" s="206">
        <v>0.37</v>
      </c>
      <c r="E46" s="91" t="s">
        <v>240</v>
      </c>
      <c r="F46" s="207"/>
      <c r="G46" s="91"/>
      <c r="H46" s="91"/>
      <c r="I46" s="91"/>
      <c r="J46" s="91"/>
      <c r="K46" s="91"/>
      <c r="L46" s="92"/>
      <c r="M46" s="50"/>
      <c r="N46" s="50"/>
      <c r="O46" s="50"/>
      <c r="P46" s="50"/>
      <c r="Q46" s="50"/>
      <c r="R46" s="50"/>
      <c r="S46" s="50"/>
      <c r="T46" s="50"/>
      <c r="U46" s="50"/>
      <c r="V46" s="50"/>
      <c r="W46" s="50"/>
      <c r="X46" s="50"/>
      <c r="Y46" s="50"/>
      <c r="Z46" s="50"/>
    </row>
    <row r="47" spans="1:26" ht="15.75" customHeight="1" x14ac:dyDescent="0.35">
      <c r="A47" s="50"/>
      <c r="B47" s="89" t="s">
        <v>176</v>
      </c>
      <c r="C47" s="88"/>
      <c r="D47" s="206">
        <v>0.37</v>
      </c>
      <c r="E47" s="91" t="s">
        <v>240</v>
      </c>
      <c r="F47" s="207"/>
      <c r="G47" s="91"/>
      <c r="H47" s="91"/>
      <c r="I47" s="91"/>
      <c r="J47" s="91"/>
      <c r="K47" s="91"/>
      <c r="L47" s="92"/>
      <c r="M47" s="50"/>
      <c r="N47" s="50"/>
      <c r="O47" s="50"/>
      <c r="P47" s="50"/>
      <c r="Q47" s="50"/>
      <c r="R47" s="50"/>
      <c r="S47" s="50"/>
      <c r="T47" s="50"/>
      <c r="U47" s="50"/>
      <c r="V47" s="50"/>
      <c r="W47" s="50"/>
      <c r="X47" s="50"/>
      <c r="Y47" s="50"/>
      <c r="Z47" s="50"/>
    </row>
    <row r="48" spans="1:26" ht="15.75" customHeight="1" x14ac:dyDescent="0.35">
      <c r="A48" s="50"/>
      <c r="B48" s="96"/>
      <c r="C48" s="88"/>
      <c r="D48" s="208"/>
      <c r="E48" s="91"/>
      <c r="F48" s="91"/>
      <c r="G48" s="91"/>
      <c r="H48" s="91"/>
      <c r="I48" s="91"/>
      <c r="J48" s="91"/>
      <c r="K48" s="91"/>
      <c r="L48" s="92"/>
      <c r="M48" s="50"/>
      <c r="N48" s="50"/>
      <c r="O48" s="50"/>
      <c r="P48" s="50"/>
      <c r="Q48" s="50"/>
      <c r="R48" s="50"/>
      <c r="S48" s="50"/>
      <c r="T48" s="50"/>
      <c r="U48" s="50"/>
      <c r="V48" s="50"/>
      <c r="W48" s="50"/>
      <c r="X48" s="50"/>
      <c r="Y48" s="50"/>
      <c r="Z48" s="50"/>
    </row>
    <row r="49" spans="1:26" ht="15.75" customHeight="1" x14ac:dyDescent="0.35">
      <c r="A49" s="50"/>
      <c r="B49" s="96" t="s">
        <v>232</v>
      </c>
      <c r="C49" s="88" t="s">
        <v>109</v>
      </c>
      <c r="D49" s="208">
        <v>0.01</v>
      </c>
      <c r="E49" s="91" t="s">
        <v>247</v>
      </c>
      <c r="F49" s="91"/>
      <c r="G49" s="216"/>
      <c r="H49" s="91"/>
      <c r="I49" s="91"/>
      <c r="J49" s="91"/>
      <c r="K49" s="91"/>
      <c r="L49" s="92"/>
      <c r="M49" s="50"/>
      <c r="N49" s="50"/>
      <c r="O49" s="50"/>
      <c r="P49" s="50"/>
      <c r="Q49" s="50"/>
      <c r="R49" s="50"/>
      <c r="S49" s="50"/>
      <c r="T49" s="50"/>
      <c r="U49" s="50"/>
      <c r="V49" s="50"/>
      <c r="W49" s="50"/>
      <c r="X49" s="50"/>
      <c r="Y49" s="50"/>
      <c r="Z49" s="50"/>
    </row>
    <row r="50" spans="1:26" ht="15.75" customHeight="1" x14ac:dyDescent="0.35">
      <c r="A50" s="50"/>
      <c r="B50" s="96" t="s">
        <v>113</v>
      </c>
      <c r="C50" s="88" t="s">
        <v>109</v>
      </c>
      <c r="D50" s="98" t="s">
        <v>114</v>
      </c>
      <c r="E50" s="91" t="s">
        <v>233</v>
      </c>
      <c r="F50" s="91"/>
      <c r="G50" s="216"/>
      <c r="H50" s="91"/>
      <c r="I50" s="91"/>
      <c r="J50" s="91"/>
      <c r="K50" s="91"/>
      <c r="L50" s="164"/>
      <c r="M50" s="50"/>
      <c r="N50" s="50"/>
      <c r="O50" s="50"/>
      <c r="P50" s="50"/>
      <c r="Q50" s="50"/>
      <c r="R50" s="50"/>
      <c r="S50" s="50"/>
      <c r="T50" s="50"/>
      <c r="U50" s="50"/>
      <c r="V50" s="50"/>
      <c r="W50" s="50"/>
      <c r="X50" s="50"/>
      <c r="Y50" s="50"/>
      <c r="Z50" s="50"/>
    </row>
    <row r="51" spans="1:26" ht="15.75" customHeight="1" x14ac:dyDescent="0.35">
      <c r="A51" s="50"/>
      <c r="B51" s="96" t="s">
        <v>116</v>
      </c>
      <c r="C51" s="88" t="s">
        <v>109</v>
      </c>
      <c r="D51" s="156">
        <f>VLOOKUP(D50,B52:D54,3,FALSE)</f>
        <v>0.05</v>
      </c>
      <c r="E51" s="91" t="s">
        <v>117</v>
      </c>
      <c r="F51" s="91"/>
      <c r="G51" s="216"/>
      <c r="H51" s="91"/>
      <c r="I51" s="91"/>
      <c r="J51" s="91"/>
      <c r="K51" s="91"/>
      <c r="L51" s="92"/>
      <c r="M51" s="50"/>
      <c r="N51" s="50"/>
      <c r="O51" s="50"/>
      <c r="P51" s="50"/>
      <c r="Q51" s="50"/>
      <c r="R51" s="50"/>
      <c r="S51" s="50"/>
      <c r="T51" s="50"/>
      <c r="U51" s="50"/>
      <c r="V51" s="50"/>
      <c r="W51" s="50"/>
      <c r="X51" s="50"/>
      <c r="Y51" s="50"/>
      <c r="Z51" s="50"/>
    </row>
    <row r="52" spans="1:26" ht="15.75" customHeight="1" x14ac:dyDescent="0.35">
      <c r="A52" s="50"/>
      <c r="B52" s="101" t="s">
        <v>114</v>
      </c>
      <c r="C52" s="102" t="s">
        <v>109</v>
      </c>
      <c r="D52" s="103">
        <v>0.05</v>
      </c>
      <c r="E52" s="91" t="s">
        <v>248</v>
      </c>
      <c r="F52" s="91"/>
      <c r="G52" s="216"/>
      <c r="H52" s="91"/>
      <c r="I52" s="91"/>
      <c r="J52" s="91"/>
      <c r="K52" s="91"/>
      <c r="L52" s="92"/>
      <c r="M52" s="50"/>
      <c r="N52" s="50"/>
      <c r="O52" s="50"/>
      <c r="P52" s="50"/>
      <c r="Q52" s="50"/>
      <c r="R52" s="50"/>
      <c r="S52" s="50"/>
      <c r="T52" s="50"/>
      <c r="U52" s="50"/>
      <c r="V52" s="50"/>
      <c r="W52" s="50"/>
      <c r="X52" s="50"/>
      <c r="Y52" s="50"/>
      <c r="Z52" s="50"/>
    </row>
    <row r="53" spans="1:26" ht="15.75" customHeight="1" x14ac:dyDescent="0.35">
      <c r="A53" s="50"/>
      <c r="B53" s="101" t="s">
        <v>119</v>
      </c>
      <c r="C53" s="102" t="s">
        <v>109</v>
      </c>
      <c r="D53" s="103">
        <v>0.03</v>
      </c>
      <c r="E53" s="91" t="s">
        <v>249</v>
      </c>
      <c r="F53" s="91"/>
      <c r="G53" s="216"/>
      <c r="H53" s="91"/>
      <c r="I53" s="91"/>
      <c r="J53" s="91"/>
      <c r="K53" s="91"/>
      <c r="L53" s="92"/>
      <c r="M53" s="50"/>
      <c r="N53" s="50"/>
      <c r="O53" s="50"/>
      <c r="P53" s="50"/>
      <c r="Q53" s="50"/>
      <c r="R53" s="50"/>
      <c r="S53" s="50"/>
      <c r="T53" s="50"/>
      <c r="U53" s="50"/>
      <c r="V53" s="50"/>
      <c r="W53" s="50"/>
      <c r="X53" s="50"/>
      <c r="Y53" s="50"/>
      <c r="Z53" s="50"/>
    </row>
    <row r="54" spans="1:26" ht="15.75" customHeight="1" x14ac:dyDescent="0.35">
      <c r="A54" s="50"/>
      <c r="B54" s="101" t="s">
        <v>121</v>
      </c>
      <c r="C54" s="102" t="s">
        <v>109</v>
      </c>
      <c r="D54" s="103">
        <v>0.01</v>
      </c>
      <c r="E54" s="91" t="s">
        <v>250</v>
      </c>
      <c r="F54" s="91"/>
      <c r="G54" s="216"/>
      <c r="H54" s="91"/>
      <c r="I54" s="91"/>
      <c r="J54" s="91"/>
      <c r="K54" s="91"/>
      <c r="L54" s="92"/>
      <c r="M54" s="50"/>
      <c r="N54" s="50"/>
      <c r="O54" s="50"/>
      <c r="P54" s="50"/>
      <c r="Q54" s="50"/>
      <c r="R54" s="50"/>
      <c r="S54" s="50"/>
      <c r="T54" s="50"/>
      <c r="U54" s="50"/>
      <c r="V54" s="50"/>
      <c r="W54" s="50"/>
      <c r="X54" s="50"/>
      <c r="Y54" s="50"/>
      <c r="Z54" s="50"/>
    </row>
    <row r="55" spans="1:26" ht="15.75" customHeight="1" x14ac:dyDescent="0.35">
      <c r="A55" s="50"/>
      <c r="B55" s="96" t="s">
        <v>234</v>
      </c>
      <c r="C55" s="88"/>
      <c r="D55" s="208">
        <v>0.01</v>
      </c>
      <c r="E55" s="91" t="s">
        <v>251</v>
      </c>
      <c r="F55" s="91"/>
      <c r="G55" s="216"/>
      <c r="H55" s="91"/>
      <c r="I55" s="91"/>
      <c r="J55" s="91"/>
      <c r="K55" s="91"/>
      <c r="L55" s="92"/>
      <c r="M55" s="50"/>
      <c r="N55" s="50"/>
      <c r="O55" s="50"/>
      <c r="P55" s="50"/>
      <c r="Q55" s="50"/>
      <c r="R55" s="50"/>
      <c r="S55" s="50"/>
      <c r="T55" s="50"/>
      <c r="U55" s="50"/>
      <c r="V55" s="50"/>
      <c r="W55" s="50"/>
      <c r="X55" s="50"/>
      <c r="Y55" s="50"/>
      <c r="Z55" s="50"/>
    </row>
    <row r="56" spans="1:26" ht="15.75" customHeight="1" x14ac:dyDescent="0.35">
      <c r="A56" s="50"/>
      <c r="B56" s="106" t="s">
        <v>127</v>
      </c>
      <c r="C56" s="107"/>
      <c r="D56" s="217">
        <f>'1.Red. Purch. Cost Patient Care'!D68</f>
        <v>0.05</v>
      </c>
      <c r="E56" s="109" t="s">
        <v>252</v>
      </c>
      <c r="F56" s="109"/>
      <c r="G56" s="218"/>
      <c r="H56" s="109"/>
      <c r="I56" s="109"/>
      <c r="J56" s="109"/>
      <c r="K56" s="109"/>
      <c r="L56" s="158"/>
      <c r="M56" s="50"/>
      <c r="N56" s="50"/>
      <c r="O56" s="50"/>
      <c r="P56" s="50"/>
      <c r="Q56" s="50"/>
      <c r="R56" s="50"/>
      <c r="S56" s="50"/>
      <c r="T56" s="50"/>
      <c r="U56" s="50"/>
      <c r="V56" s="50"/>
      <c r="W56" s="50"/>
      <c r="X56" s="50"/>
      <c r="Y56" s="50"/>
      <c r="Z56" s="50"/>
    </row>
    <row r="57" spans="1:26" ht="15.75" customHeight="1" x14ac:dyDescent="0.35">
      <c r="A57" s="50"/>
      <c r="B57" s="190"/>
      <c r="C57" s="47"/>
      <c r="D57" s="179"/>
      <c r="E57" s="179"/>
      <c r="F57" s="179"/>
      <c r="G57" s="50"/>
      <c r="H57" s="50"/>
      <c r="I57" s="50"/>
      <c r="J57" s="50"/>
      <c r="K57" s="50"/>
      <c r="L57" s="50"/>
      <c r="M57" s="50"/>
      <c r="N57" s="50"/>
      <c r="O57" s="50"/>
      <c r="P57" s="50"/>
      <c r="Q57" s="50"/>
      <c r="R57" s="50"/>
      <c r="S57" s="50"/>
      <c r="T57" s="50"/>
      <c r="U57" s="50"/>
      <c r="V57" s="50"/>
      <c r="W57" s="50"/>
      <c r="X57" s="50"/>
      <c r="Y57" s="50"/>
      <c r="Z57" s="50"/>
    </row>
    <row r="58" spans="1:26" ht="15.75" customHeight="1" x14ac:dyDescent="0.3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5.75" customHeight="1" x14ac:dyDescent="0.35">
      <c r="A59" s="50"/>
      <c r="B59" s="35" t="s">
        <v>55</v>
      </c>
      <c r="C59" s="38"/>
      <c r="D59" s="565" t="s">
        <v>129</v>
      </c>
      <c r="E59" s="552"/>
      <c r="F59" s="553"/>
      <c r="G59" s="112" t="s">
        <v>130</v>
      </c>
      <c r="H59" s="38" t="e">
        <f t="shared" ref="H59:P59" si="0">+G59+1</f>
        <v>#VALUE!</v>
      </c>
      <c r="I59" s="38" t="e">
        <f t="shared" si="0"/>
        <v>#VALUE!</v>
      </c>
      <c r="J59" s="38" t="e">
        <f t="shared" si="0"/>
        <v>#VALUE!</v>
      </c>
      <c r="K59" s="38" t="e">
        <f t="shared" si="0"/>
        <v>#VALUE!</v>
      </c>
      <c r="L59" s="38" t="e">
        <f t="shared" si="0"/>
        <v>#VALUE!</v>
      </c>
      <c r="M59" s="38" t="e">
        <f t="shared" si="0"/>
        <v>#VALUE!</v>
      </c>
      <c r="N59" s="38" t="e">
        <f t="shared" si="0"/>
        <v>#VALUE!</v>
      </c>
      <c r="O59" s="38" t="e">
        <f t="shared" si="0"/>
        <v>#VALUE!</v>
      </c>
      <c r="P59" s="39" t="e">
        <f t="shared" si="0"/>
        <v>#VALUE!</v>
      </c>
      <c r="Q59" s="50"/>
      <c r="R59" s="50"/>
      <c r="S59" s="50"/>
      <c r="T59" s="50"/>
      <c r="U59" s="50"/>
      <c r="V59" s="50"/>
      <c r="W59" s="50"/>
      <c r="X59" s="50"/>
      <c r="Y59" s="50"/>
      <c r="Z59" s="50"/>
    </row>
    <row r="60" spans="1:26" ht="15.75" customHeight="1" x14ac:dyDescent="0.35">
      <c r="A60" s="50"/>
      <c r="B60" s="40"/>
      <c r="C60" s="113"/>
      <c r="D60" s="159">
        <v>1</v>
      </c>
      <c r="E60" s="159">
        <f>+D60+1</f>
        <v>2</v>
      </c>
      <c r="F60" s="159">
        <f t="shared" ref="F60:P60" si="1">E60+1</f>
        <v>3</v>
      </c>
      <c r="G60" s="159">
        <f t="shared" si="1"/>
        <v>4</v>
      </c>
      <c r="H60" s="159">
        <f t="shared" si="1"/>
        <v>5</v>
      </c>
      <c r="I60" s="159">
        <f t="shared" si="1"/>
        <v>6</v>
      </c>
      <c r="J60" s="159">
        <f t="shared" si="1"/>
        <v>7</v>
      </c>
      <c r="K60" s="159">
        <f t="shared" si="1"/>
        <v>8</v>
      </c>
      <c r="L60" s="159">
        <f t="shared" si="1"/>
        <v>9</v>
      </c>
      <c r="M60" s="159">
        <f t="shared" si="1"/>
        <v>10</v>
      </c>
      <c r="N60" s="159">
        <f t="shared" si="1"/>
        <v>11</v>
      </c>
      <c r="O60" s="159">
        <f t="shared" si="1"/>
        <v>12</v>
      </c>
      <c r="P60" s="160">
        <f t="shared" si="1"/>
        <v>13</v>
      </c>
      <c r="Q60" s="50"/>
      <c r="R60" s="50"/>
      <c r="S60" s="50"/>
      <c r="T60" s="50"/>
      <c r="U60" s="50"/>
      <c r="V60" s="50"/>
      <c r="W60" s="50"/>
      <c r="X60" s="50"/>
      <c r="Y60" s="50"/>
      <c r="Z60" s="50"/>
    </row>
    <row r="61" spans="1:26" ht="15.75" customHeight="1" x14ac:dyDescent="0.35">
      <c r="A61" s="50"/>
      <c r="B61" s="46" t="s">
        <v>180</v>
      </c>
      <c r="C61" s="47"/>
      <c r="D61" s="49"/>
      <c r="E61" s="49"/>
      <c r="F61" s="49"/>
      <c r="G61" s="49"/>
      <c r="H61" s="49"/>
      <c r="I61" s="49"/>
      <c r="J61" s="49"/>
      <c r="K61" s="49"/>
      <c r="L61" s="49"/>
      <c r="M61" s="49"/>
      <c r="N61" s="50"/>
      <c r="O61" s="50"/>
      <c r="P61" s="115"/>
      <c r="Q61" s="50"/>
      <c r="R61" s="50"/>
      <c r="S61" s="50"/>
      <c r="T61" s="50"/>
      <c r="U61" s="50"/>
      <c r="V61" s="50"/>
      <c r="W61" s="50"/>
      <c r="X61" s="50"/>
      <c r="Y61" s="50"/>
      <c r="Z61" s="50"/>
    </row>
    <row r="62" spans="1:26" ht="15.75" customHeight="1" x14ac:dyDescent="0.35">
      <c r="A62" s="50"/>
      <c r="B62" s="53" t="s">
        <v>165</v>
      </c>
      <c r="C62" s="116" t="s">
        <v>94</v>
      </c>
      <c r="D62" s="49">
        <f t="shared" ref="D62:D72" si="2">D12</f>
        <v>1000</v>
      </c>
      <c r="E62" s="49">
        <f t="shared" ref="E62:P62" si="3">D62*(1+$D$49)</f>
        <v>1010</v>
      </c>
      <c r="F62" s="49">
        <f t="shared" si="3"/>
        <v>1020.1</v>
      </c>
      <c r="G62" s="49">
        <f t="shared" si="3"/>
        <v>1030.3009999999999</v>
      </c>
      <c r="H62" s="49">
        <f t="shared" si="3"/>
        <v>1040.60401</v>
      </c>
      <c r="I62" s="49">
        <f t="shared" si="3"/>
        <v>1051.0100500999999</v>
      </c>
      <c r="J62" s="49">
        <f t="shared" si="3"/>
        <v>1061.5201506009998</v>
      </c>
      <c r="K62" s="49">
        <f t="shared" si="3"/>
        <v>1072.1353521070098</v>
      </c>
      <c r="L62" s="49">
        <f t="shared" si="3"/>
        <v>1082.8567056280799</v>
      </c>
      <c r="M62" s="49">
        <f t="shared" si="3"/>
        <v>1093.6852726843608</v>
      </c>
      <c r="N62" s="49">
        <f t="shared" si="3"/>
        <v>1104.6221254112045</v>
      </c>
      <c r="O62" s="49">
        <f t="shared" si="3"/>
        <v>1115.6683466653164</v>
      </c>
      <c r="P62" s="117">
        <f t="shared" si="3"/>
        <v>1126.8250301319697</v>
      </c>
      <c r="Q62" s="50"/>
      <c r="R62" s="50"/>
      <c r="S62" s="50"/>
      <c r="T62" s="50"/>
      <c r="U62" s="50"/>
      <c r="V62" s="50"/>
      <c r="W62" s="50"/>
      <c r="X62" s="50"/>
      <c r="Y62" s="50"/>
      <c r="Z62" s="50"/>
    </row>
    <row r="63" spans="1:26" ht="15.75" customHeight="1" x14ac:dyDescent="0.35">
      <c r="A63" s="50"/>
      <c r="B63" s="53" t="s">
        <v>166</v>
      </c>
      <c r="C63" s="116" t="s">
        <v>94</v>
      </c>
      <c r="D63" s="49">
        <f t="shared" si="2"/>
        <v>1000</v>
      </c>
      <c r="E63" s="49">
        <f t="shared" ref="E63:P63" si="4">D63*(1+$D$49)</f>
        <v>1010</v>
      </c>
      <c r="F63" s="49">
        <f t="shared" si="4"/>
        <v>1020.1</v>
      </c>
      <c r="G63" s="49">
        <f t="shared" si="4"/>
        <v>1030.3009999999999</v>
      </c>
      <c r="H63" s="49">
        <f t="shared" si="4"/>
        <v>1040.60401</v>
      </c>
      <c r="I63" s="49">
        <f t="shared" si="4"/>
        <v>1051.0100500999999</v>
      </c>
      <c r="J63" s="49">
        <f t="shared" si="4"/>
        <v>1061.5201506009998</v>
      </c>
      <c r="K63" s="49">
        <f t="shared" si="4"/>
        <v>1072.1353521070098</v>
      </c>
      <c r="L63" s="49">
        <f t="shared" si="4"/>
        <v>1082.8567056280799</v>
      </c>
      <c r="M63" s="49">
        <f t="shared" si="4"/>
        <v>1093.6852726843608</v>
      </c>
      <c r="N63" s="49">
        <f t="shared" si="4"/>
        <v>1104.6221254112045</v>
      </c>
      <c r="O63" s="49">
        <f t="shared" si="4"/>
        <v>1115.6683466653164</v>
      </c>
      <c r="P63" s="117">
        <f t="shared" si="4"/>
        <v>1126.8250301319697</v>
      </c>
      <c r="Q63" s="50"/>
      <c r="R63" s="50"/>
      <c r="S63" s="50"/>
      <c r="T63" s="50"/>
      <c r="U63" s="50"/>
      <c r="V63" s="50"/>
      <c r="W63" s="50"/>
      <c r="X63" s="50"/>
      <c r="Y63" s="50"/>
      <c r="Z63" s="50"/>
    </row>
    <row r="64" spans="1:26" ht="15.75" customHeight="1" x14ac:dyDescent="0.35">
      <c r="A64" s="50"/>
      <c r="B64" s="53" t="s">
        <v>167</v>
      </c>
      <c r="C64" s="116" t="s">
        <v>94</v>
      </c>
      <c r="D64" s="49">
        <f t="shared" si="2"/>
        <v>1000</v>
      </c>
      <c r="E64" s="49">
        <f t="shared" ref="E64:P64" si="5">D64*(1+$D$49)</f>
        <v>1010</v>
      </c>
      <c r="F64" s="49">
        <f t="shared" si="5"/>
        <v>1020.1</v>
      </c>
      <c r="G64" s="49">
        <f t="shared" si="5"/>
        <v>1030.3009999999999</v>
      </c>
      <c r="H64" s="49">
        <f t="shared" si="5"/>
        <v>1040.60401</v>
      </c>
      <c r="I64" s="49">
        <f t="shared" si="5"/>
        <v>1051.0100500999999</v>
      </c>
      <c r="J64" s="49">
        <f t="shared" si="5"/>
        <v>1061.5201506009998</v>
      </c>
      <c r="K64" s="49">
        <f t="shared" si="5"/>
        <v>1072.1353521070098</v>
      </c>
      <c r="L64" s="49">
        <f t="shared" si="5"/>
        <v>1082.8567056280799</v>
      </c>
      <c r="M64" s="49">
        <f t="shared" si="5"/>
        <v>1093.6852726843608</v>
      </c>
      <c r="N64" s="49">
        <f t="shared" si="5"/>
        <v>1104.6221254112045</v>
      </c>
      <c r="O64" s="49">
        <f t="shared" si="5"/>
        <v>1115.6683466653164</v>
      </c>
      <c r="P64" s="117">
        <f t="shared" si="5"/>
        <v>1126.8250301319697</v>
      </c>
      <c r="Q64" s="50"/>
      <c r="R64" s="50"/>
      <c r="S64" s="50"/>
      <c r="T64" s="50"/>
      <c r="U64" s="50"/>
      <c r="V64" s="50"/>
      <c r="W64" s="50"/>
      <c r="X64" s="50"/>
      <c r="Y64" s="50"/>
      <c r="Z64" s="50"/>
    </row>
    <row r="65" spans="1:26" ht="15.75" customHeight="1" x14ac:dyDescent="0.35">
      <c r="A65" s="50"/>
      <c r="B65" s="53" t="s">
        <v>169</v>
      </c>
      <c r="C65" s="116" t="s">
        <v>94</v>
      </c>
      <c r="D65" s="49">
        <f t="shared" si="2"/>
        <v>1000</v>
      </c>
      <c r="E65" s="49">
        <f t="shared" ref="E65:P65" si="6">D65*(1+$D$49)</f>
        <v>1010</v>
      </c>
      <c r="F65" s="49">
        <f t="shared" si="6"/>
        <v>1020.1</v>
      </c>
      <c r="G65" s="49">
        <f t="shared" si="6"/>
        <v>1030.3009999999999</v>
      </c>
      <c r="H65" s="49">
        <f t="shared" si="6"/>
        <v>1040.60401</v>
      </c>
      <c r="I65" s="49">
        <f t="shared" si="6"/>
        <v>1051.0100500999999</v>
      </c>
      <c r="J65" s="49">
        <f t="shared" si="6"/>
        <v>1061.5201506009998</v>
      </c>
      <c r="K65" s="49">
        <f t="shared" si="6"/>
        <v>1072.1353521070098</v>
      </c>
      <c r="L65" s="49">
        <f t="shared" si="6"/>
        <v>1082.8567056280799</v>
      </c>
      <c r="M65" s="49">
        <f t="shared" si="6"/>
        <v>1093.6852726843608</v>
      </c>
      <c r="N65" s="49">
        <f t="shared" si="6"/>
        <v>1104.6221254112045</v>
      </c>
      <c r="O65" s="49">
        <f t="shared" si="6"/>
        <v>1115.6683466653164</v>
      </c>
      <c r="P65" s="117">
        <f t="shared" si="6"/>
        <v>1126.8250301319697</v>
      </c>
      <c r="Q65" s="50"/>
      <c r="R65" s="50"/>
      <c r="S65" s="50"/>
      <c r="T65" s="50"/>
      <c r="U65" s="50"/>
      <c r="V65" s="50"/>
      <c r="W65" s="50"/>
      <c r="X65" s="50"/>
      <c r="Y65" s="50"/>
      <c r="Z65" s="50"/>
    </row>
    <row r="66" spans="1:26" ht="15.75" customHeight="1" x14ac:dyDescent="0.35">
      <c r="A66" s="50"/>
      <c r="B66" s="53" t="s">
        <v>170</v>
      </c>
      <c r="C66" s="116" t="s">
        <v>94</v>
      </c>
      <c r="D66" s="49">
        <f t="shared" si="2"/>
        <v>1000</v>
      </c>
      <c r="E66" s="49">
        <f t="shared" ref="E66:P66" si="7">D66*(1+$D$49)</f>
        <v>1010</v>
      </c>
      <c r="F66" s="49">
        <f t="shared" si="7"/>
        <v>1020.1</v>
      </c>
      <c r="G66" s="49">
        <f t="shared" si="7"/>
        <v>1030.3009999999999</v>
      </c>
      <c r="H66" s="49">
        <f t="shared" si="7"/>
        <v>1040.60401</v>
      </c>
      <c r="I66" s="49">
        <f t="shared" si="7"/>
        <v>1051.0100500999999</v>
      </c>
      <c r="J66" s="49">
        <f t="shared" si="7"/>
        <v>1061.5201506009998</v>
      </c>
      <c r="K66" s="49">
        <f t="shared" si="7"/>
        <v>1072.1353521070098</v>
      </c>
      <c r="L66" s="49">
        <f t="shared" si="7"/>
        <v>1082.8567056280799</v>
      </c>
      <c r="M66" s="49">
        <f t="shared" si="7"/>
        <v>1093.6852726843608</v>
      </c>
      <c r="N66" s="49">
        <f t="shared" si="7"/>
        <v>1104.6221254112045</v>
      </c>
      <c r="O66" s="49">
        <f t="shared" si="7"/>
        <v>1115.6683466653164</v>
      </c>
      <c r="P66" s="117">
        <f t="shared" si="7"/>
        <v>1126.8250301319697</v>
      </c>
      <c r="Q66" s="50"/>
      <c r="R66" s="50"/>
      <c r="S66" s="50"/>
      <c r="T66" s="50"/>
      <c r="U66" s="50"/>
      <c r="V66" s="50"/>
      <c r="W66" s="50"/>
      <c r="X66" s="50"/>
      <c r="Y66" s="50"/>
      <c r="Z66" s="50"/>
    </row>
    <row r="67" spans="1:26" ht="15.75" customHeight="1" x14ac:dyDescent="0.35">
      <c r="A67" s="50"/>
      <c r="B67" s="53" t="s">
        <v>171</v>
      </c>
      <c r="C67" s="116" t="s">
        <v>94</v>
      </c>
      <c r="D67" s="49">
        <f t="shared" si="2"/>
        <v>1000</v>
      </c>
      <c r="E67" s="49">
        <f t="shared" ref="E67:P67" si="8">D67*(1+$D$49)</f>
        <v>1010</v>
      </c>
      <c r="F67" s="49">
        <f t="shared" si="8"/>
        <v>1020.1</v>
      </c>
      <c r="G67" s="49">
        <f t="shared" si="8"/>
        <v>1030.3009999999999</v>
      </c>
      <c r="H67" s="49">
        <f t="shared" si="8"/>
        <v>1040.60401</v>
      </c>
      <c r="I67" s="49">
        <f t="shared" si="8"/>
        <v>1051.0100500999999</v>
      </c>
      <c r="J67" s="49">
        <f t="shared" si="8"/>
        <v>1061.5201506009998</v>
      </c>
      <c r="K67" s="49">
        <f t="shared" si="8"/>
        <v>1072.1353521070098</v>
      </c>
      <c r="L67" s="49">
        <f t="shared" si="8"/>
        <v>1082.8567056280799</v>
      </c>
      <c r="M67" s="49">
        <f t="shared" si="8"/>
        <v>1093.6852726843608</v>
      </c>
      <c r="N67" s="49">
        <f t="shared" si="8"/>
        <v>1104.6221254112045</v>
      </c>
      <c r="O67" s="49">
        <f t="shared" si="8"/>
        <v>1115.6683466653164</v>
      </c>
      <c r="P67" s="117">
        <f t="shared" si="8"/>
        <v>1126.8250301319697</v>
      </c>
      <c r="Q67" s="50"/>
      <c r="R67" s="50"/>
      <c r="S67" s="50"/>
      <c r="T67" s="50"/>
      <c r="U67" s="50"/>
      <c r="V67" s="50"/>
      <c r="W67" s="50"/>
      <c r="X67" s="50"/>
      <c r="Y67" s="50"/>
      <c r="Z67" s="50"/>
    </row>
    <row r="68" spans="1:26" ht="15.75" customHeight="1" x14ac:dyDescent="0.35">
      <c r="A68" s="50"/>
      <c r="B68" s="53" t="s">
        <v>172</v>
      </c>
      <c r="C68" s="116" t="s">
        <v>94</v>
      </c>
      <c r="D68" s="49">
        <f t="shared" si="2"/>
        <v>1000</v>
      </c>
      <c r="E68" s="49">
        <f t="shared" ref="E68:P68" si="9">D68*(1+$D$49)</f>
        <v>1010</v>
      </c>
      <c r="F68" s="49">
        <f t="shared" si="9"/>
        <v>1020.1</v>
      </c>
      <c r="G68" s="49">
        <f t="shared" si="9"/>
        <v>1030.3009999999999</v>
      </c>
      <c r="H68" s="49">
        <f t="shared" si="9"/>
        <v>1040.60401</v>
      </c>
      <c r="I68" s="49">
        <f t="shared" si="9"/>
        <v>1051.0100500999999</v>
      </c>
      <c r="J68" s="49">
        <f t="shared" si="9"/>
        <v>1061.5201506009998</v>
      </c>
      <c r="K68" s="49">
        <f t="shared" si="9"/>
        <v>1072.1353521070098</v>
      </c>
      <c r="L68" s="49">
        <f t="shared" si="9"/>
        <v>1082.8567056280799</v>
      </c>
      <c r="M68" s="49">
        <f t="shared" si="9"/>
        <v>1093.6852726843608</v>
      </c>
      <c r="N68" s="49">
        <f t="shared" si="9"/>
        <v>1104.6221254112045</v>
      </c>
      <c r="O68" s="49">
        <f t="shared" si="9"/>
        <v>1115.6683466653164</v>
      </c>
      <c r="P68" s="117">
        <f t="shared" si="9"/>
        <v>1126.8250301319697</v>
      </c>
      <c r="Q68" s="50"/>
      <c r="R68" s="50"/>
      <c r="S68" s="50"/>
      <c r="T68" s="50"/>
      <c r="U68" s="50"/>
      <c r="V68" s="50"/>
      <c r="W68" s="50"/>
      <c r="X68" s="50"/>
      <c r="Y68" s="50"/>
      <c r="Z68" s="50"/>
    </row>
    <row r="69" spans="1:26" ht="15.75" customHeight="1" x14ac:dyDescent="0.35">
      <c r="A69" s="50"/>
      <c r="B69" s="53" t="s">
        <v>173</v>
      </c>
      <c r="C69" s="116" t="s">
        <v>94</v>
      </c>
      <c r="D69" s="49">
        <f t="shared" si="2"/>
        <v>1000</v>
      </c>
      <c r="E69" s="49">
        <f t="shared" ref="E69:P69" si="10">D69*(1+$D$49)</f>
        <v>1010</v>
      </c>
      <c r="F69" s="49">
        <f t="shared" si="10"/>
        <v>1020.1</v>
      </c>
      <c r="G69" s="49">
        <f t="shared" si="10"/>
        <v>1030.3009999999999</v>
      </c>
      <c r="H69" s="49">
        <f t="shared" si="10"/>
        <v>1040.60401</v>
      </c>
      <c r="I69" s="49">
        <f t="shared" si="10"/>
        <v>1051.0100500999999</v>
      </c>
      <c r="J69" s="49">
        <f t="shared" si="10"/>
        <v>1061.5201506009998</v>
      </c>
      <c r="K69" s="49">
        <f t="shared" si="10"/>
        <v>1072.1353521070098</v>
      </c>
      <c r="L69" s="49">
        <f t="shared" si="10"/>
        <v>1082.8567056280799</v>
      </c>
      <c r="M69" s="49">
        <f t="shared" si="10"/>
        <v>1093.6852726843608</v>
      </c>
      <c r="N69" s="49">
        <f t="shared" si="10"/>
        <v>1104.6221254112045</v>
      </c>
      <c r="O69" s="49">
        <f t="shared" si="10"/>
        <v>1115.6683466653164</v>
      </c>
      <c r="P69" s="117">
        <f t="shared" si="10"/>
        <v>1126.8250301319697</v>
      </c>
      <c r="Q69" s="50"/>
      <c r="R69" s="50"/>
      <c r="S69" s="50"/>
      <c r="T69" s="50"/>
      <c r="U69" s="50"/>
      <c r="V69" s="50"/>
      <c r="W69" s="50"/>
      <c r="X69" s="50"/>
      <c r="Y69" s="50"/>
      <c r="Z69" s="50"/>
    </row>
    <row r="70" spans="1:26" ht="15.75" customHeight="1" x14ac:dyDescent="0.35">
      <c r="A70" s="50"/>
      <c r="B70" s="53" t="s">
        <v>174</v>
      </c>
      <c r="C70" s="116" t="s">
        <v>94</v>
      </c>
      <c r="D70" s="49">
        <f t="shared" si="2"/>
        <v>1000</v>
      </c>
      <c r="E70" s="49">
        <f t="shared" ref="E70:P70" si="11">D70*(1+$D$49)</f>
        <v>1010</v>
      </c>
      <c r="F70" s="49">
        <f t="shared" si="11"/>
        <v>1020.1</v>
      </c>
      <c r="G70" s="49">
        <f t="shared" si="11"/>
        <v>1030.3009999999999</v>
      </c>
      <c r="H70" s="49">
        <f t="shared" si="11"/>
        <v>1040.60401</v>
      </c>
      <c r="I70" s="49">
        <f t="shared" si="11"/>
        <v>1051.0100500999999</v>
      </c>
      <c r="J70" s="49">
        <f t="shared" si="11"/>
        <v>1061.5201506009998</v>
      </c>
      <c r="K70" s="49">
        <f t="shared" si="11"/>
        <v>1072.1353521070098</v>
      </c>
      <c r="L70" s="49">
        <f t="shared" si="11"/>
        <v>1082.8567056280799</v>
      </c>
      <c r="M70" s="49">
        <f t="shared" si="11"/>
        <v>1093.6852726843608</v>
      </c>
      <c r="N70" s="49">
        <f t="shared" si="11"/>
        <v>1104.6221254112045</v>
      </c>
      <c r="O70" s="49">
        <f t="shared" si="11"/>
        <v>1115.6683466653164</v>
      </c>
      <c r="P70" s="117">
        <f t="shared" si="11"/>
        <v>1126.8250301319697</v>
      </c>
      <c r="Q70" s="50"/>
      <c r="R70" s="50"/>
      <c r="S70" s="50"/>
      <c r="T70" s="50"/>
      <c r="U70" s="50"/>
      <c r="V70" s="50"/>
      <c r="W70" s="50"/>
      <c r="X70" s="50"/>
      <c r="Y70" s="50"/>
      <c r="Z70" s="50"/>
    </row>
    <row r="71" spans="1:26" ht="15.75" customHeight="1" x14ac:dyDescent="0.35">
      <c r="A71" s="50"/>
      <c r="B71" s="53" t="s">
        <v>175</v>
      </c>
      <c r="C71" s="116" t="s">
        <v>94</v>
      </c>
      <c r="D71" s="49">
        <f t="shared" si="2"/>
        <v>1000</v>
      </c>
      <c r="E71" s="49">
        <f t="shared" ref="E71:P71" si="12">D71*(1+$D$49)</f>
        <v>1010</v>
      </c>
      <c r="F71" s="49">
        <f t="shared" si="12"/>
        <v>1020.1</v>
      </c>
      <c r="G71" s="49">
        <f t="shared" si="12"/>
        <v>1030.3009999999999</v>
      </c>
      <c r="H71" s="49">
        <f t="shared" si="12"/>
        <v>1040.60401</v>
      </c>
      <c r="I71" s="49">
        <f t="shared" si="12"/>
        <v>1051.0100500999999</v>
      </c>
      <c r="J71" s="49">
        <f t="shared" si="12"/>
        <v>1061.5201506009998</v>
      </c>
      <c r="K71" s="49">
        <f t="shared" si="12"/>
        <v>1072.1353521070098</v>
      </c>
      <c r="L71" s="49">
        <f t="shared" si="12"/>
        <v>1082.8567056280799</v>
      </c>
      <c r="M71" s="49">
        <f t="shared" si="12"/>
        <v>1093.6852726843608</v>
      </c>
      <c r="N71" s="49">
        <f t="shared" si="12"/>
        <v>1104.6221254112045</v>
      </c>
      <c r="O71" s="49">
        <f t="shared" si="12"/>
        <v>1115.6683466653164</v>
      </c>
      <c r="P71" s="117">
        <f t="shared" si="12"/>
        <v>1126.8250301319697</v>
      </c>
      <c r="Q71" s="50"/>
      <c r="R71" s="50"/>
      <c r="S71" s="50"/>
      <c r="T71" s="50"/>
      <c r="U71" s="50"/>
      <c r="V71" s="50"/>
      <c r="W71" s="50"/>
      <c r="X71" s="50"/>
      <c r="Y71" s="50"/>
      <c r="Z71" s="50"/>
    </row>
    <row r="72" spans="1:26" ht="15.75" customHeight="1" x14ac:dyDescent="0.35">
      <c r="A72" s="50"/>
      <c r="B72" s="53" t="s">
        <v>176</v>
      </c>
      <c r="C72" s="116" t="s">
        <v>94</v>
      </c>
      <c r="D72" s="49">
        <f t="shared" si="2"/>
        <v>1000</v>
      </c>
      <c r="E72" s="49">
        <f t="shared" ref="E72:P72" si="13">D72*(1+$D$49)</f>
        <v>1010</v>
      </c>
      <c r="F72" s="49">
        <f t="shared" si="13"/>
        <v>1020.1</v>
      </c>
      <c r="G72" s="49">
        <f t="shared" si="13"/>
        <v>1030.3009999999999</v>
      </c>
      <c r="H72" s="49">
        <f t="shared" si="13"/>
        <v>1040.60401</v>
      </c>
      <c r="I72" s="49">
        <f t="shared" si="13"/>
        <v>1051.0100500999999</v>
      </c>
      <c r="J72" s="49">
        <f t="shared" si="13"/>
        <v>1061.5201506009998</v>
      </c>
      <c r="K72" s="49">
        <f t="shared" si="13"/>
        <v>1072.1353521070098</v>
      </c>
      <c r="L72" s="49">
        <f t="shared" si="13"/>
        <v>1082.8567056280799</v>
      </c>
      <c r="M72" s="49">
        <f t="shared" si="13"/>
        <v>1093.6852726843608</v>
      </c>
      <c r="N72" s="49">
        <f t="shared" si="13"/>
        <v>1104.6221254112045</v>
      </c>
      <c r="O72" s="49">
        <f t="shared" si="13"/>
        <v>1115.6683466653164</v>
      </c>
      <c r="P72" s="117">
        <f t="shared" si="13"/>
        <v>1126.8250301319697</v>
      </c>
      <c r="Q72" s="50"/>
      <c r="R72" s="50"/>
      <c r="S72" s="50"/>
      <c r="T72" s="50"/>
      <c r="U72" s="50"/>
      <c r="V72" s="50"/>
      <c r="W72" s="50"/>
      <c r="X72" s="50"/>
      <c r="Y72" s="50"/>
      <c r="Z72" s="50"/>
    </row>
    <row r="73" spans="1:26" ht="15.75" customHeight="1" x14ac:dyDescent="0.35">
      <c r="A73" s="32"/>
      <c r="B73" s="58" t="s">
        <v>65</v>
      </c>
      <c r="C73" s="116" t="s">
        <v>94</v>
      </c>
      <c r="D73" s="118">
        <f t="shared" ref="D73:P73" si="14">SUM(D62:D72)</f>
        <v>11000</v>
      </c>
      <c r="E73" s="118">
        <f t="shared" si="14"/>
        <v>11110</v>
      </c>
      <c r="F73" s="118">
        <f t="shared" si="14"/>
        <v>11221.100000000002</v>
      </c>
      <c r="G73" s="118">
        <f t="shared" si="14"/>
        <v>11333.310999999996</v>
      </c>
      <c r="H73" s="118">
        <f t="shared" si="14"/>
        <v>11446.644109999997</v>
      </c>
      <c r="I73" s="118">
        <f t="shared" si="14"/>
        <v>11561.110551099999</v>
      </c>
      <c r="J73" s="118">
        <f t="shared" si="14"/>
        <v>11676.721656610998</v>
      </c>
      <c r="K73" s="118">
        <f t="shared" si="14"/>
        <v>11793.48887317711</v>
      </c>
      <c r="L73" s="118">
        <f t="shared" si="14"/>
        <v>11911.423761908882</v>
      </c>
      <c r="M73" s="118">
        <f t="shared" si="14"/>
        <v>12030.537999527969</v>
      </c>
      <c r="N73" s="118">
        <f t="shared" si="14"/>
        <v>12150.843379523249</v>
      </c>
      <c r="O73" s="118">
        <f t="shared" si="14"/>
        <v>12272.351813318479</v>
      </c>
      <c r="P73" s="118">
        <f t="shared" si="14"/>
        <v>12395.075331451666</v>
      </c>
      <c r="Q73" s="32"/>
      <c r="R73" s="32"/>
      <c r="S73" s="32"/>
      <c r="T73" s="32"/>
      <c r="U73" s="32"/>
      <c r="V73" s="32"/>
      <c r="W73" s="32"/>
      <c r="X73" s="32"/>
      <c r="Y73" s="32"/>
      <c r="Z73" s="32"/>
    </row>
    <row r="74" spans="1:26" ht="15.75" customHeight="1" x14ac:dyDescent="0.35">
      <c r="A74" s="50"/>
      <c r="B74" s="46" t="s">
        <v>253</v>
      </c>
      <c r="C74" s="65"/>
      <c r="D74" s="123"/>
      <c r="E74" s="123"/>
      <c r="F74" s="123"/>
      <c r="G74" s="50"/>
      <c r="H74" s="50"/>
      <c r="I74" s="50"/>
      <c r="J74" s="50"/>
      <c r="K74" s="50"/>
      <c r="L74" s="50"/>
      <c r="M74" s="50"/>
      <c r="N74" s="50"/>
      <c r="O74" s="50"/>
      <c r="P74" s="115"/>
      <c r="Q74" s="50"/>
      <c r="R74" s="50"/>
      <c r="S74" s="50"/>
      <c r="T74" s="50"/>
      <c r="U74" s="50"/>
      <c r="V74" s="50"/>
      <c r="W74" s="50"/>
      <c r="X74" s="50"/>
      <c r="Y74" s="50"/>
      <c r="Z74" s="50"/>
    </row>
    <row r="75" spans="1:26" ht="15.75" customHeight="1" x14ac:dyDescent="0.35">
      <c r="A75" s="50"/>
      <c r="B75" s="53" t="s">
        <v>165</v>
      </c>
      <c r="C75" s="116" t="s">
        <v>94</v>
      </c>
      <c r="D75" s="80">
        <f t="shared" ref="D75:D85" si="15">D62*D25</f>
        <v>10</v>
      </c>
      <c r="E75" s="80">
        <f t="shared" ref="E75:F75" si="16">IF(D75&gt;0,D75*(1+$D$51),(E62*E25))</f>
        <v>10.5</v>
      </c>
      <c r="F75" s="80">
        <f t="shared" si="16"/>
        <v>11.025</v>
      </c>
      <c r="G75" s="120">
        <f t="shared" ref="G75:P75" si="17">F75*(1+$D$51)</f>
        <v>11.576250000000002</v>
      </c>
      <c r="H75" s="120">
        <f t="shared" si="17"/>
        <v>12.155062500000001</v>
      </c>
      <c r="I75" s="120">
        <f t="shared" si="17"/>
        <v>12.762815625000002</v>
      </c>
      <c r="J75" s="120">
        <f t="shared" si="17"/>
        <v>13.400956406250003</v>
      </c>
      <c r="K75" s="120">
        <f t="shared" si="17"/>
        <v>14.071004226562504</v>
      </c>
      <c r="L75" s="120">
        <f t="shared" si="17"/>
        <v>14.774554437890631</v>
      </c>
      <c r="M75" s="120">
        <f t="shared" si="17"/>
        <v>15.513282159785163</v>
      </c>
      <c r="N75" s="120">
        <f t="shared" si="17"/>
        <v>16.288946267774421</v>
      </c>
      <c r="O75" s="120">
        <f t="shared" si="17"/>
        <v>17.103393581163143</v>
      </c>
      <c r="P75" s="124">
        <f t="shared" si="17"/>
        <v>17.9585632602213</v>
      </c>
      <c r="Q75" s="50"/>
      <c r="R75" s="50"/>
      <c r="S75" s="50"/>
      <c r="T75" s="50"/>
      <c r="U75" s="50"/>
      <c r="V75" s="50"/>
      <c r="W75" s="50"/>
      <c r="X75" s="50"/>
      <c r="Y75" s="50"/>
      <c r="Z75" s="50"/>
    </row>
    <row r="76" spans="1:26" ht="15.75" customHeight="1" x14ac:dyDescent="0.35">
      <c r="A76" s="50"/>
      <c r="B76" s="53" t="s">
        <v>166</v>
      </c>
      <c r="C76" s="116" t="s">
        <v>94</v>
      </c>
      <c r="D76" s="80">
        <f t="shared" si="15"/>
        <v>10</v>
      </c>
      <c r="E76" s="80">
        <f t="shared" ref="E76:F76" si="18">IF(D76&gt;0,D76*(1+$D$51),(E63*E26))</f>
        <v>10.5</v>
      </c>
      <c r="F76" s="80">
        <f t="shared" si="18"/>
        <v>11.025</v>
      </c>
      <c r="G76" s="120">
        <f t="shared" ref="G76:P76" si="19">F76*(1+$D$51)</f>
        <v>11.576250000000002</v>
      </c>
      <c r="H76" s="120">
        <f t="shared" si="19"/>
        <v>12.155062500000001</v>
      </c>
      <c r="I76" s="120">
        <f t="shared" si="19"/>
        <v>12.762815625000002</v>
      </c>
      <c r="J76" s="120">
        <f t="shared" si="19"/>
        <v>13.400956406250003</v>
      </c>
      <c r="K76" s="120">
        <f t="shared" si="19"/>
        <v>14.071004226562504</v>
      </c>
      <c r="L76" s="120">
        <f t="shared" si="19"/>
        <v>14.774554437890631</v>
      </c>
      <c r="M76" s="120">
        <f t="shared" si="19"/>
        <v>15.513282159785163</v>
      </c>
      <c r="N76" s="120">
        <f t="shared" si="19"/>
        <v>16.288946267774421</v>
      </c>
      <c r="O76" s="120">
        <f t="shared" si="19"/>
        <v>17.103393581163143</v>
      </c>
      <c r="P76" s="124">
        <f t="shared" si="19"/>
        <v>17.9585632602213</v>
      </c>
      <c r="Q76" s="50"/>
      <c r="R76" s="50"/>
      <c r="S76" s="50"/>
      <c r="T76" s="50"/>
      <c r="U76" s="50"/>
      <c r="V76" s="50"/>
      <c r="W76" s="50"/>
      <c r="X76" s="50"/>
      <c r="Y76" s="50"/>
      <c r="Z76" s="50"/>
    </row>
    <row r="77" spans="1:26" ht="15.75" customHeight="1" x14ac:dyDescent="0.35">
      <c r="A77" s="50"/>
      <c r="B77" s="53" t="s">
        <v>167</v>
      </c>
      <c r="C77" s="116" t="s">
        <v>94</v>
      </c>
      <c r="D77" s="80">
        <f t="shared" si="15"/>
        <v>0</v>
      </c>
      <c r="E77" s="80">
        <f t="shared" ref="E77:F77" si="20">IF(D77&gt;0,D77*(1+$D$51),(E64*E27))</f>
        <v>10.1</v>
      </c>
      <c r="F77" s="80">
        <f t="shared" si="20"/>
        <v>10.605</v>
      </c>
      <c r="G77" s="120">
        <f t="shared" ref="G77:P77" si="21">F77*(1+$D$51)</f>
        <v>11.135250000000001</v>
      </c>
      <c r="H77" s="120">
        <f t="shared" si="21"/>
        <v>11.692012500000002</v>
      </c>
      <c r="I77" s="120">
        <f t="shared" si="21"/>
        <v>12.276613125000003</v>
      </c>
      <c r="J77" s="120">
        <f t="shared" si="21"/>
        <v>12.890443781250003</v>
      </c>
      <c r="K77" s="120">
        <f t="shared" si="21"/>
        <v>13.534965970312504</v>
      </c>
      <c r="L77" s="120">
        <f t="shared" si="21"/>
        <v>14.21171426882813</v>
      </c>
      <c r="M77" s="120">
        <f t="shared" si="21"/>
        <v>14.922299982269537</v>
      </c>
      <c r="N77" s="120">
        <f t="shared" si="21"/>
        <v>15.668414981383014</v>
      </c>
      <c r="O77" s="120">
        <f t="shared" si="21"/>
        <v>16.451835730452167</v>
      </c>
      <c r="P77" s="124">
        <f t="shared" si="21"/>
        <v>17.274427516974775</v>
      </c>
      <c r="Q77" s="50"/>
      <c r="R77" s="50"/>
      <c r="S77" s="50"/>
      <c r="T77" s="50"/>
      <c r="U77" s="50"/>
      <c r="V77" s="50"/>
      <c r="W77" s="50"/>
      <c r="X77" s="50"/>
      <c r="Y77" s="50"/>
      <c r="Z77" s="50"/>
    </row>
    <row r="78" spans="1:26" ht="15.75" customHeight="1" x14ac:dyDescent="0.35">
      <c r="A78" s="50"/>
      <c r="B78" s="53" t="s">
        <v>169</v>
      </c>
      <c r="C78" s="116" t="s">
        <v>94</v>
      </c>
      <c r="D78" s="80">
        <f t="shared" si="15"/>
        <v>10</v>
      </c>
      <c r="E78" s="80">
        <f t="shared" ref="E78:F78" si="22">IF(D78&gt;0,D78*(1+$D$51),(E65*E28))</f>
        <v>10.5</v>
      </c>
      <c r="F78" s="80">
        <f t="shared" si="22"/>
        <v>11.025</v>
      </c>
      <c r="G78" s="120">
        <f t="shared" ref="G78:P78" si="23">F78*(1+$D$51)</f>
        <v>11.576250000000002</v>
      </c>
      <c r="H78" s="120">
        <f t="shared" si="23"/>
        <v>12.155062500000001</v>
      </c>
      <c r="I78" s="120">
        <f t="shared" si="23"/>
        <v>12.762815625000002</v>
      </c>
      <c r="J78" s="120">
        <f t="shared" si="23"/>
        <v>13.400956406250003</v>
      </c>
      <c r="K78" s="120">
        <f t="shared" si="23"/>
        <v>14.071004226562504</v>
      </c>
      <c r="L78" s="120">
        <f t="shared" si="23"/>
        <v>14.774554437890631</v>
      </c>
      <c r="M78" s="120">
        <f t="shared" si="23"/>
        <v>15.513282159785163</v>
      </c>
      <c r="N78" s="120">
        <f t="shared" si="23"/>
        <v>16.288946267774421</v>
      </c>
      <c r="O78" s="120">
        <f t="shared" si="23"/>
        <v>17.103393581163143</v>
      </c>
      <c r="P78" s="124">
        <f t="shared" si="23"/>
        <v>17.9585632602213</v>
      </c>
      <c r="Q78" s="50"/>
      <c r="R78" s="50"/>
      <c r="S78" s="50"/>
      <c r="T78" s="50"/>
      <c r="U78" s="50"/>
      <c r="V78" s="50"/>
      <c r="W78" s="50"/>
      <c r="X78" s="50"/>
      <c r="Y78" s="50"/>
      <c r="Z78" s="50"/>
    </row>
    <row r="79" spans="1:26" ht="15.75" customHeight="1" x14ac:dyDescent="0.35">
      <c r="A79" s="50"/>
      <c r="B79" s="53" t="s">
        <v>170</v>
      </c>
      <c r="C79" s="116" t="s">
        <v>94</v>
      </c>
      <c r="D79" s="80">
        <f t="shared" si="15"/>
        <v>10</v>
      </c>
      <c r="E79" s="80">
        <f t="shared" ref="E79:F79" si="24">IF(D79&gt;0,D79*(1+$D$51),(E66*E29))</f>
        <v>10.5</v>
      </c>
      <c r="F79" s="80">
        <f t="shared" si="24"/>
        <v>11.025</v>
      </c>
      <c r="G79" s="120">
        <f t="shared" ref="G79:P79" si="25">F79*(1+$D$51)</f>
        <v>11.576250000000002</v>
      </c>
      <c r="H79" s="120">
        <f t="shared" si="25"/>
        <v>12.155062500000001</v>
      </c>
      <c r="I79" s="120">
        <f t="shared" si="25"/>
        <v>12.762815625000002</v>
      </c>
      <c r="J79" s="120">
        <f t="shared" si="25"/>
        <v>13.400956406250003</v>
      </c>
      <c r="K79" s="120">
        <f t="shared" si="25"/>
        <v>14.071004226562504</v>
      </c>
      <c r="L79" s="120">
        <f t="shared" si="25"/>
        <v>14.774554437890631</v>
      </c>
      <c r="M79" s="120">
        <f t="shared" si="25"/>
        <v>15.513282159785163</v>
      </c>
      <c r="N79" s="120">
        <f t="shared" si="25"/>
        <v>16.288946267774421</v>
      </c>
      <c r="O79" s="120">
        <f t="shared" si="25"/>
        <v>17.103393581163143</v>
      </c>
      <c r="P79" s="124">
        <f t="shared" si="25"/>
        <v>17.9585632602213</v>
      </c>
      <c r="Q79" s="50"/>
      <c r="R79" s="50"/>
      <c r="S79" s="50"/>
      <c r="T79" s="50"/>
      <c r="U79" s="50"/>
      <c r="V79" s="50"/>
      <c r="W79" s="50"/>
      <c r="X79" s="50"/>
      <c r="Y79" s="50"/>
      <c r="Z79" s="50"/>
    </row>
    <row r="80" spans="1:26" ht="15.75" customHeight="1" x14ac:dyDescent="0.35">
      <c r="A80" s="50"/>
      <c r="B80" s="53" t="s">
        <v>171</v>
      </c>
      <c r="C80" s="116" t="s">
        <v>94</v>
      </c>
      <c r="D80" s="80">
        <f t="shared" si="15"/>
        <v>0</v>
      </c>
      <c r="E80" s="80">
        <f t="shared" ref="E80:F80" si="26">IF(D80&gt;0,D80*(1+$D$51),(E67*E30))</f>
        <v>0</v>
      </c>
      <c r="F80" s="80">
        <f t="shared" si="26"/>
        <v>10.201000000000001</v>
      </c>
      <c r="G80" s="120">
        <f t="shared" ref="G80:P80" si="27">F80*(1+$D$51)</f>
        <v>10.71105</v>
      </c>
      <c r="H80" s="120">
        <f t="shared" si="27"/>
        <v>11.2466025</v>
      </c>
      <c r="I80" s="120">
        <f t="shared" si="27"/>
        <v>11.808932625000001</v>
      </c>
      <c r="J80" s="120">
        <f t="shared" si="27"/>
        <v>12.39937925625</v>
      </c>
      <c r="K80" s="120">
        <f t="shared" si="27"/>
        <v>13.019348219062501</v>
      </c>
      <c r="L80" s="120">
        <f t="shared" si="27"/>
        <v>13.670315630015626</v>
      </c>
      <c r="M80" s="120">
        <f t="shared" si="27"/>
        <v>14.353831411516408</v>
      </c>
      <c r="N80" s="120">
        <f t="shared" si="27"/>
        <v>15.07152298209223</v>
      </c>
      <c r="O80" s="120">
        <f t="shared" si="27"/>
        <v>15.825099131196842</v>
      </c>
      <c r="P80" s="124">
        <f t="shared" si="27"/>
        <v>16.616354087756683</v>
      </c>
      <c r="Q80" s="50"/>
      <c r="R80" s="50"/>
      <c r="S80" s="50"/>
      <c r="T80" s="50"/>
      <c r="U80" s="50"/>
      <c r="V80" s="50"/>
      <c r="W80" s="50"/>
      <c r="X80" s="50"/>
      <c r="Y80" s="50"/>
      <c r="Z80" s="50"/>
    </row>
    <row r="81" spans="1:26" ht="15.75" customHeight="1" x14ac:dyDescent="0.35">
      <c r="A81" s="50"/>
      <c r="B81" s="53" t="s">
        <v>172</v>
      </c>
      <c r="C81" s="116" t="s">
        <v>94</v>
      </c>
      <c r="D81" s="80">
        <f t="shared" si="15"/>
        <v>0</v>
      </c>
      <c r="E81" s="80">
        <f t="shared" ref="E81:F81" si="28">IF(D81&gt;0,D81*(1+$D$51),(E68*E31))</f>
        <v>0</v>
      </c>
      <c r="F81" s="80">
        <f t="shared" si="28"/>
        <v>10.201000000000001</v>
      </c>
      <c r="G81" s="120">
        <f t="shared" ref="G81:P81" si="29">F81*(1+$D$51)</f>
        <v>10.71105</v>
      </c>
      <c r="H81" s="120">
        <f t="shared" si="29"/>
        <v>11.2466025</v>
      </c>
      <c r="I81" s="120">
        <f t="shared" si="29"/>
        <v>11.808932625000001</v>
      </c>
      <c r="J81" s="120">
        <f t="shared" si="29"/>
        <v>12.39937925625</v>
      </c>
      <c r="K81" s="120">
        <f t="shared" si="29"/>
        <v>13.019348219062501</v>
      </c>
      <c r="L81" s="120">
        <f t="shared" si="29"/>
        <v>13.670315630015626</v>
      </c>
      <c r="M81" s="120">
        <f t="shared" si="29"/>
        <v>14.353831411516408</v>
      </c>
      <c r="N81" s="120">
        <f t="shared" si="29"/>
        <v>15.07152298209223</v>
      </c>
      <c r="O81" s="120">
        <f t="shared" si="29"/>
        <v>15.825099131196842</v>
      </c>
      <c r="P81" s="124">
        <f t="shared" si="29"/>
        <v>16.616354087756683</v>
      </c>
      <c r="Q81" s="50"/>
      <c r="R81" s="50"/>
      <c r="S81" s="50"/>
      <c r="T81" s="50"/>
      <c r="U81" s="50"/>
      <c r="V81" s="50"/>
      <c r="W81" s="50"/>
      <c r="X81" s="50"/>
      <c r="Y81" s="50"/>
      <c r="Z81" s="50"/>
    </row>
    <row r="82" spans="1:26" ht="15.75" customHeight="1" x14ac:dyDescent="0.35">
      <c r="A82" s="50"/>
      <c r="B82" s="53" t="s">
        <v>173</v>
      </c>
      <c r="C82" s="116" t="s">
        <v>94</v>
      </c>
      <c r="D82" s="80">
        <f t="shared" si="15"/>
        <v>0</v>
      </c>
      <c r="E82" s="80">
        <f t="shared" ref="E82:F82" si="30">IF(D82&gt;0,D82*(1+$D$51),(E69*E32))</f>
        <v>0</v>
      </c>
      <c r="F82" s="80">
        <f t="shared" si="30"/>
        <v>10.201000000000001</v>
      </c>
      <c r="G82" s="120">
        <f t="shared" ref="G82:P82" si="31">F82*(1+$D$51)</f>
        <v>10.71105</v>
      </c>
      <c r="H82" s="120">
        <f t="shared" si="31"/>
        <v>11.2466025</v>
      </c>
      <c r="I82" s="120">
        <f t="shared" si="31"/>
        <v>11.808932625000001</v>
      </c>
      <c r="J82" s="120">
        <f t="shared" si="31"/>
        <v>12.39937925625</v>
      </c>
      <c r="K82" s="120">
        <f t="shared" si="31"/>
        <v>13.019348219062501</v>
      </c>
      <c r="L82" s="120">
        <f t="shared" si="31"/>
        <v>13.670315630015626</v>
      </c>
      <c r="M82" s="120">
        <f t="shared" si="31"/>
        <v>14.353831411516408</v>
      </c>
      <c r="N82" s="120">
        <f t="shared" si="31"/>
        <v>15.07152298209223</v>
      </c>
      <c r="O82" s="120">
        <f t="shared" si="31"/>
        <v>15.825099131196842</v>
      </c>
      <c r="P82" s="124">
        <f t="shared" si="31"/>
        <v>16.616354087756683</v>
      </c>
      <c r="Q82" s="50"/>
      <c r="R82" s="50"/>
      <c r="S82" s="50"/>
      <c r="T82" s="50"/>
      <c r="U82" s="50"/>
      <c r="V82" s="50"/>
      <c r="W82" s="50"/>
      <c r="X82" s="50"/>
      <c r="Y82" s="50"/>
      <c r="Z82" s="50"/>
    </row>
    <row r="83" spans="1:26" ht="15.75" customHeight="1" x14ac:dyDescent="0.35">
      <c r="A83" s="50"/>
      <c r="B83" s="53" t="s">
        <v>174</v>
      </c>
      <c r="C83" s="116" t="s">
        <v>94</v>
      </c>
      <c r="D83" s="80">
        <f t="shared" si="15"/>
        <v>0</v>
      </c>
      <c r="E83" s="80">
        <f t="shared" ref="E83:F83" si="32">IF(D83&gt;0,D83*(1+$D$51),(E70*E33))</f>
        <v>0</v>
      </c>
      <c r="F83" s="80">
        <f t="shared" si="32"/>
        <v>10.201000000000001</v>
      </c>
      <c r="G83" s="120">
        <f t="shared" ref="G83:P83" si="33">F83*(1+$D$51)</f>
        <v>10.71105</v>
      </c>
      <c r="H83" s="120">
        <f t="shared" si="33"/>
        <v>11.2466025</v>
      </c>
      <c r="I83" s="120">
        <f t="shared" si="33"/>
        <v>11.808932625000001</v>
      </c>
      <c r="J83" s="120">
        <f t="shared" si="33"/>
        <v>12.39937925625</v>
      </c>
      <c r="K83" s="120">
        <f t="shared" si="33"/>
        <v>13.019348219062501</v>
      </c>
      <c r="L83" s="120">
        <f t="shared" si="33"/>
        <v>13.670315630015626</v>
      </c>
      <c r="M83" s="120">
        <f t="shared" si="33"/>
        <v>14.353831411516408</v>
      </c>
      <c r="N83" s="120">
        <f t="shared" si="33"/>
        <v>15.07152298209223</v>
      </c>
      <c r="O83" s="120">
        <f t="shared" si="33"/>
        <v>15.825099131196842</v>
      </c>
      <c r="P83" s="124">
        <f t="shared" si="33"/>
        <v>16.616354087756683</v>
      </c>
      <c r="Q83" s="50"/>
      <c r="R83" s="50"/>
      <c r="S83" s="50"/>
      <c r="T83" s="50"/>
      <c r="U83" s="50"/>
      <c r="V83" s="50"/>
      <c r="W83" s="50"/>
      <c r="X83" s="50"/>
      <c r="Y83" s="50"/>
      <c r="Z83" s="50"/>
    </row>
    <row r="84" spans="1:26" ht="15.75" customHeight="1" x14ac:dyDescent="0.35">
      <c r="A84" s="50"/>
      <c r="B84" s="53" t="s">
        <v>175</v>
      </c>
      <c r="C84" s="116" t="s">
        <v>94</v>
      </c>
      <c r="D84" s="80">
        <f t="shared" si="15"/>
        <v>0</v>
      </c>
      <c r="E84" s="80">
        <f t="shared" ref="E84:F84" si="34">IF(D84&gt;0,D84*(1+$D$51),(E71*E34))</f>
        <v>0</v>
      </c>
      <c r="F84" s="80">
        <f t="shared" si="34"/>
        <v>10.201000000000001</v>
      </c>
      <c r="G84" s="120">
        <f t="shared" ref="G84:P84" si="35">F84*(1+$D$51)</f>
        <v>10.71105</v>
      </c>
      <c r="H84" s="120">
        <f t="shared" si="35"/>
        <v>11.2466025</v>
      </c>
      <c r="I84" s="120">
        <f t="shared" si="35"/>
        <v>11.808932625000001</v>
      </c>
      <c r="J84" s="120">
        <f t="shared" si="35"/>
        <v>12.39937925625</v>
      </c>
      <c r="K84" s="120">
        <f t="shared" si="35"/>
        <v>13.019348219062501</v>
      </c>
      <c r="L84" s="120">
        <f t="shared" si="35"/>
        <v>13.670315630015626</v>
      </c>
      <c r="M84" s="120">
        <f t="shared" si="35"/>
        <v>14.353831411516408</v>
      </c>
      <c r="N84" s="120">
        <f t="shared" si="35"/>
        <v>15.07152298209223</v>
      </c>
      <c r="O84" s="120">
        <f t="shared" si="35"/>
        <v>15.825099131196842</v>
      </c>
      <c r="P84" s="124">
        <f t="shared" si="35"/>
        <v>16.616354087756683</v>
      </c>
      <c r="Q84" s="50"/>
      <c r="R84" s="50"/>
      <c r="S84" s="50"/>
      <c r="T84" s="50"/>
      <c r="U84" s="50"/>
      <c r="V84" s="50"/>
      <c r="W84" s="50"/>
      <c r="X84" s="50"/>
      <c r="Y84" s="50"/>
      <c r="Z84" s="50"/>
    </row>
    <row r="85" spans="1:26" ht="15.75" customHeight="1" x14ac:dyDescent="0.35">
      <c r="A85" s="50"/>
      <c r="B85" s="53" t="s">
        <v>176</v>
      </c>
      <c r="C85" s="116" t="s">
        <v>94</v>
      </c>
      <c r="D85" s="80">
        <f t="shared" si="15"/>
        <v>0</v>
      </c>
      <c r="E85" s="80">
        <f t="shared" ref="E85:F85" si="36">IF(D85&gt;0,D85*(1+$D$51),(E72*E35))</f>
        <v>0</v>
      </c>
      <c r="F85" s="80">
        <f t="shared" si="36"/>
        <v>10.201000000000001</v>
      </c>
      <c r="G85" s="120">
        <f t="shared" ref="G85:P85" si="37">F85*(1+$D$51)</f>
        <v>10.71105</v>
      </c>
      <c r="H85" s="120">
        <f t="shared" si="37"/>
        <v>11.2466025</v>
      </c>
      <c r="I85" s="120">
        <f t="shared" si="37"/>
        <v>11.808932625000001</v>
      </c>
      <c r="J85" s="120">
        <f t="shared" si="37"/>
        <v>12.39937925625</v>
      </c>
      <c r="K85" s="120">
        <f t="shared" si="37"/>
        <v>13.019348219062501</v>
      </c>
      <c r="L85" s="120">
        <f t="shared" si="37"/>
        <v>13.670315630015626</v>
      </c>
      <c r="M85" s="120">
        <f t="shared" si="37"/>
        <v>14.353831411516408</v>
      </c>
      <c r="N85" s="120">
        <f t="shared" si="37"/>
        <v>15.07152298209223</v>
      </c>
      <c r="O85" s="120">
        <f t="shared" si="37"/>
        <v>15.825099131196842</v>
      </c>
      <c r="P85" s="124">
        <f t="shared" si="37"/>
        <v>16.616354087756683</v>
      </c>
      <c r="Q85" s="50"/>
      <c r="R85" s="50"/>
      <c r="S85" s="50"/>
      <c r="T85" s="50"/>
      <c r="U85" s="50"/>
      <c r="V85" s="50"/>
      <c r="W85" s="50"/>
      <c r="X85" s="50"/>
      <c r="Y85" s="50"/>
      <c r="Z85" s="50"/>
    </row>
    <row r="86" spans="1:26" ht="15.75" customHeight="1" x14ac:dyDescent="0.35">
      <c r="A86" s="32"/>
      <c r="B86" s="58" t="s">
        <v>65</v>
      </c>
      <c r="C86" s="116" t="s">
        <v>94</v>
      </c>
      <c r="D86" s="118">
        <f t="shared" ref="D86:P86" si="38">SUM(D75:D85)</f>
        <v>40</v>
      </c>
      <c r="E86" s="118">
        <f t="shared" si="38"/>
        <v>52.1</v>
      </c>
      <c r="F86" s="118">
        <f t="shared" si="38"/>
        <v>115.91099999999997</v>
      </c>
      <c r="G86" s="118">
        <f t="shared" si="38"/>
        <v>121.70655000000001</v>
      </c>
      <c r="H86" s="118">
        <f t="shared" si="38"/>
        <v>127.79187749999997</v>
      </c>
      <c r="I86" s="118">
        <f t="shared" si="38"/>
        <v>134.181471375</v>
      </c>
      <c r="J86" s="118">
        <f t="shared" si="38"/>
        <v>140.89054494375003</v>
      </c>
      <c r="K86" s="118">
        <f t="shared" si="38"/>
        <v>147.93507219093749</v>
      </c>
      <c r="L86" s="118">
        <f t="shared" si="38"/>
        <v>155.33182580048441</v>
      </c>
      <c r="M86" s="118">
        <f t="shared" si="38"/>
        <v>163.09841709050863</v>
      </c>
      <c r="N86" s="118">
        <f t="shared" si="38"/>
        <v>171.25333794503408</v>
      </c>
      <c r="O86" s="118">
        <f t="shared" si="38"/>
        <v>179.81600484228582</v>
      </c>
      <c r="P86" s="118">
        <f t="shared" si="38"/>
        <v>188.80680508440011</v>
      </c>
      <c r="Q86" s="32"/>
      <c r="R86" s="32"/>
      <c r="S86" s="32"/>
      <c r="T86" s="32"/>
      <c r="U86" s="32"/>
      <c r="V86" s="32"/>
      <c r="W86" s="32"/>
      <c r="X86" s="32"/>
      <c r="Y86" s="32"/>
      <c r="Z86" s="32"/>
    </row>
    <row r="87" spans="1:26" ht="15.75" customHeight="1" x14ac:dyDescent="0.35">
      <c r="A87" s="50"/>
      <c r="B87" s="62" t="s">
        <v>135</v>
      </c>
      <c r="C87" s="54"/>
      <c r="D87" s="128"/>
      <c r="E87" s="50"/>
      <c r="F87" s="50"/>
      <c r="G87" s="50"/>
      <c r="H87" s="50"/>
      <c r="I87" s="50"/>
      <c r="J87" s="50"/>
      <c r="K87" s="50"/>
      <c r="L87" s="50"/>
      <c r="M87" s="50"/>
      <c r="N87" s="50"/>
      <c r="O87" s="50"/>
      <c r="P87" s="115"/>
      <c r="Q87" s="50"/>
      <c r="R87" s="50"/>
      <c r="S87" s="50"/>
      <c r="T87" s="50"/>
      <c r="U87" s="50"/>
      <c r="V87" s="50"/>
      <c r="W87" s="50"/>
      <c r="X87" s="50"/>
      <c r="Y87" s="50"/>
      <c r="Z87" s="50"/>
    </row>
    <row r="88" spans="1:26" ht="15.75" customHeight="1" x14ac:dyDescent="0.35">
      <c r="A88" s="50"/>
      <c r="B88" s="53" t="s">
        <v>165</v>
      </c>
      <c r="C88" s="54"/>
      <c r="D88" s="126">
        <f>'1.Red. Purch. Cost Vasc.'!F38*'Red. Purch. Cost Vascular-New'!D37</f>
        <v>64</v>
      </c>
      <c r="E88" s="126">
        <f t="shared" ref="E88:P88" si="39">D88*(1+$D$55)</f>
        <v>64.64</v>
      </c>
      <c r="F88" s="126">
        <f t="shared" si="39"/>
        <v>65.2864</v>
      </c>
      <c r="G88" s="126">
        <f t="shared" si="39"/>
        <v>65.939263999999994</v>
      </c>
      <c r="H88" s="126">
        <f t="shared" si="39"/>
        <v>66.598656640000002</v>
      </c>
      <c r="I88" s="126">
        <f t="shared" si="39"/>
        <v>67.264643206399995</v>
      </c>
      <c r="J88" s="126">
        <f t="shared" si="39"/>
        <v>67.937289638463994</v>
      </c>
      <c r="K88" s="126">
        <f t="shared" si="39"/>
        <v>68.616662534848629</v>
      </c>
      <c r="L88" s="126">
        <f t="shared" si="39"/>
        <v>69.30282916019712</v>
      </c>
      <c r="M88" s="126">
        <f t="shared" si="39"/>
        <v>69.995857451799097</v>
      </c>
      <c r="N88" s="126">
        <f t="shared" si="39"/>
        <v>70.69581602631709</v>
      </c>
      <c r="O88" s="126">
        <f t="shared" si="39"/>
        <v>71.40277418658026</v>
      </c>
      <c r="P88" s="126">
        <f t="shared" si="39"/>
        <v>72.116801928446066</v>
      </c>
      <c r="Q88" s="50"/>
      <c r="R88" s="50"/>
      <c r="S88" s="50"/>
      <c r="T88" s="50"/>
      <c r="U88" s="50"/>
      <c r="V88" s="50"/>
      <c r="W88" s="50"/>
      <c r="X88" s="50"/>
      <c r="Y88" s="50"/>
      <c r="Z88" s="50"/>
    </row>
    <row r="89" spans="1:26" ht="15.75" customHeight="1" x14ac:dyDescent="0.35">
      <c r="A89" s="50"/>
      <c r="B89" s="53" t="s">
        <v>166</v>
      </c>
      <c r="C89" s="50"/>
      <c r="D89" s="126">
        <f>'1.Red. Purch. Cost Vasc.'!F39*'Red. Purch. Cost Vascular-New'!D38</f>
        <v>30</v>
      </c>
      <c r="E89" s="126">
        <f t="shared" ref="E89:P89" si="40">D89*(1+$D$55)</f>
        <v>30.3</v>
      </c>
      <c r="F89" s="126">
        <f t="shared" si="40"/>
        <v>30.603000000000002</v>
      </c>
      <c r="G89" s="126">
        <f t="shared" si="40"/>
        <v>30.909030000000001</v>
      </c>
      <c r="H89" s="126">
        <f t="shared" si="40"/>
        <v>31.218120300000002</v>
      </c>
      <c r="I89" s="126">
        <f t="shared" si="40"/>
        <v>31.530301503000004</v>
      </c>
      <c r="J89" s="126">
        <f t="shared" si="40"/>
        <v>31.845604518030004</v>
      </c>
      <c r="K89" s="126">
        <f t="shared" si="40"/>
        <v>32.164060563210306</v>
      </c>
      <c r="L89" s="126">
        <f t="shared" si="40"/>
        <v>32.485701168842411</v>
      </c>
      <c r="M89" s="126">
        <f t="shared" si="40"/>
        <v>32.810558180530833</v>
      </c>
      <c r="N89" s="126">
        <f t="shared" si="40"/>
        <v>33.138663762336144</v>
      </c>
      <c r="O89" s="126">
        <f t="shared" si="40"/>
        <v>33.470050399959504</v>
      </c>
      <c r="P89" s="126">
        <f t="shared" si="40"/>
        <v>33.804750903959096</v>
      </c>
      <c r="Q89" s="50"/>
      <c r="R89" s="50"/>
      <c r="S89" s="50"/>
      <c r="T89" s="50"/>
      <c r="U89" s="50"/>
      <c r="V89" s="50"/>
      <c r="W89" s="50"/>
      <c r="X89" s="50"/>
      <c r="Y89" s="50"/>
      <c r="Z89" s="50"/>
    </row>
    <row r="90" spans="1:26" ht="15.75" customHeight="1" x14ac:dyDescent="0.35">
      <c r="A90" s="50"/>
      <c r="B90" s="53" t="s">
        <v>167</v>
      </c>
      <c r="C90" s="50"/>
      <c r="D90" s="126">
        <f>'1.Red. Purch. Cost Vasc.'!F40*'Red. Purch. Cost Vascular-New'!D39</f>
        <v>37</v>
      </c>
      <c r="E90" s="126">
        <f t="shared" ref="E90:P90" si="41">D90*(1+$D$55)</f>
        <v>37.369999999999997</v>
      </c>
      <c r="F90" s="126">
        <f t="shared" si="41"/>
        <v>37.743699999999997</v>
      </c>
      <c r="G90" s="126">
        <f t="shared" si="41"/>
        <v>38.121136999999997</v>
      </c>
      <c r="H90" s="126">
        <f t="shared" si="41"/>
        <v>38.50234837</v>
      </c>
      <c r="I90" s="126">
        <f t="shared" si="41"/>
        <v>38.887371853700003</v>
      </c>
      <c r="J90" s="126">
        <f t="shared" si="41"/>
        <v>39.276245572237002</v>
      </c>
      <c r="K90" s="126">
        <f t="shared" si="41"/>
        <v>39.669008027959372</v>
      </c>
      <c r="L90" s="126">
        <f t="shared" si="41"/>
        <v>40.065698108238962</v>
      </c>
      <c r="M90" s="126">
        <f t="shared" si="41"/>
        <v>40.466355089321354</v>
      </c>
      <c r="N90" s="126">
        <f t="shared" si="41"/>
        <v>40.871018640214565</v>
      </c>
      <c r="O90" s="126">
        <f t="shared" si="41"/>
        <v>41.279728826616712</v>
      </c>
      <c r="P90" s="126">
        <f t="shared" si="41"/>
        <v>41.692526114882881</v>
      </c>
      <c r="Q90" s="50"/>
      <c r="R90" s="50"/>
      <c r="S90" s="50"/>
      <c r="T90" s="50"/>
      <c r="U90" s="50"/>
      <c r="V90" s="50"/>
      <c r="W90" s="50"/>
      <c r="X90" s="50"/>
      <c r="Y90" s="50"/>
      <c r="Z90" s="50"/>
    </row>
    <row r="91" spans="1:26" ht="15.75" customHeight="1" x14ac:dyDescent="0.35">
      <c r="A91" s="50"/>
      <c r="B91" s="53" t="s">
        <v>169</v>
      </c>
      <c r="C91" s="50"/>
      <c r="D91" s="126">
        <f>'1.Red. Purch. Cost Vasc.'!F41*'Red. Purch. Cost Vascular-New'!D40</f>
        <v>37</v>
      </c>
      <c r="E91" s="126">
        <f t="shared" ref="E91:P91" si="42">D91*(1+$D$55)</f>
        <v>37.369999999999997</v>
      </c>
      <c r="F91" s="126">
        <f t="shared" si="42"/>
        <v>37.743699999999997</v>
      </c>
      <c r="G91" s="126">
        <f t="shared" si="42"/>
        <v>38.121136999999997</v>
      </c>
      <c r="H91" s="126">
        <f t="shared" si="42"/>
        <v>38.50234837</v>
      </c>
      <c r="I91" s="126">
        <f t="shared" si="42"/>
        <v>38.887371853700003</v>
      </c>
      <c r="J91" s="126">
        <f t="shared" si="42"/>
        <v>39.276245572237002</v>
      </c>
      <c r="K91" s="126">
        <f t="shared" si="42"/>
        <v>39.669008027959372</v>
      </c>
      <c r="L91" s="126">
        <f t="shared" si="42"/>
        <v>40.065698108238962</v>
      </c>
      <c r="M91" s="126">
        <f t="shared" si="42"/>
        <v>40.466355089321354</v>
      </c>
      <c r="N91" s="126">
        <f t="shared" si="42"/>
        <v>40.871018640214565</v>
      </c>
      <c r="O91" s="126">
        <f t="shared" si="42"/>
        <v>41.279728826616712</v>
      </c>
      <c r="P91" s="126">
        <f t="shared" si="42"/>
        <v>41.692526114882881</v>
      </c>
      <c r="Q91" s="50"/>
      <c r="R91" s="50"/>
      <c r="S91" s="50"/>
      <c r="T91" s="50"/>
      <c r="U91" s="50"/>
      <c r="V91" s="50"/>
      <c r="W91" s="50"/>
      <c r="X91" s="50"/>
      <c r="Y91" s="50"/>
      <c r="Z91" s="50"/>
    </row>
    <row r="92" spans="1:26" ht="15.75" customHeight="1" x14ac:dyDescent="0.35">
      <c r="A92" s="50"/>
      <c r="B92" s="53" t="s">
        <v>170</v>
      </c>
      <c r="C92" s="50"/>
      <c r="D92" s="126">
        <f>'1.Red. Purch. Cost Vasc.'!F42*'Red. Purch. Cost Vascular-New'!D41</f>
        <v>37</v>
      </c>
      <c r="E92" s="126">
        <f t="shared" ref="E92:P92" si="43">D92*(1+$D$55)</f>
        <v>37.369999999999997</v>
      </c>
      <c r="F92" s="126">
        <f t="shared" si="43"/>
        <v>37.743699999999997</v>
      </c>
      <c r="G92" s="126">
        <f t="shared" si="43"/>
        <v>38.121136999999997</v>
      </c>
      <c r="H92" s="126">
        <f t="shared" si="43"/>
        <v>38.50234837</v>
      </c>
      <c r="I92" s="126">
        <f t="shared" si="43"/>
        <v>38.887371853700003</v>
      </c>
      <c r="J92" s="126">
        <f t="shared" si="43"/>
        <v>39.276245572237002</v>
      </c>
      <c r="K92" s="126">
        <f t="shared" si="43"/>
        <v>39.669008027959372</v>
      </c>
      <c r="L92" s="126">
        <f t="shared" si="43"/>
        <v>40.065698108238962</v>
      </c>
      <c r="M92" s="126">
        <f t="shared" si="43"/>
        <v>40.466355089321354</v>
      </c>
      <c r="N92" s="126">
        <f t="shared" si="43"/>
        <v>40.871018640214565</v>
      </c>
      <c r="O92" s="126">
        <f t="shared" si="43"/>
        <v>41.279728826616712</v>
      </c>
      <c r="P92" s="126">
        <f t="shared" si="43"/>
        <v>41.692526114882881</v>
      </c>
      <c r="Q92" s="50"/>
      <c r="R92" s="50"/>
      <c r="S92" s="50"/>
      <c r="T92" s="50"/>
      <c r="U92" s="50"/>
      <c r="V92" s="50"/>
      <c r="W92" s="50"/>
      <c r="X92" s="50"/>
      <c r="Y92" s="50"/>
      <c r="Z92" s="50"/>
    </row>
    <row r="93" spans="1:26" ht="15.75" customHeight="1" x14ac:dyDescent="0.35">
      <c r="A93" s="50"/>
      <c r="B93" s="53" t="s">
        <v>171</v>
      </c>
      <c r="C93" s="50"/>
      <c r="D93" s="126">
        <f>'1.Red. Purch. Cost Vasc.'!F43*'Red. Purch. Cost Vascular-New'!D42</f>
        <v>37</v>
      </c>
      <c r="E93" s="126">
        <f t="shared" ref="E93:P93" si="44">D93*(1+$D$55)</f>
        <v>37.369999999999997</v>
      </c>
      <c r="F93" s="126">
        <f t="shared" si="44"/>
        <v>37.743699999999997</v>
      </c>
      <c r="G93" s="126">
        <f t="shared" si="44"/>
        <v>38.121136999999997</v>
      </c>
      <c r="H93" s="126">
        <f t="shared" si="44"/>
        <v>38.50234837</v>
      </c>
      <c r="I93" s="126">
        <f t="shared" si="44"/>
        <v>38.887371853700003</v>
      </c>
      <c r="J93" s="126">
        <f t="shared" si="44"/>
        <v>39.276245572237002</v>
      </c>
      <c r="K93" s="126">
        <f t="shared" si="44"/>
        <v>39.669008027959372</v>
      </c>
      <c r="L93" s="126">
        <f t="shared" si="44"/>
        <v>40.065698108238962</v>
      </c>
      <c r="M93" s="126">
        <f t="shared" si="44"/>
        <v>40.466355089321354</v>
      </c>
      <c r="N93" s="126">
        <f t="shared" si="44"/>
        <v>40.871018640214565</v>
      </c>
      <c r="O93" s="126">
        <f t="shared" si="44"/>
        <v>41.279728826616712</v>
      </c>
      <c r="P93" s="126">
        <f t="shared" si="44"/>
        <v>41.692526114882881</v>
      </c>
      <c r="Q93" s="50"/>
      <c r="R93" s="50"/>
      <c r="S93" s="50"/>
      <c r="T93" s="50"/>
      <c r="U93" s="50"/>
      <c r="V93" s="50"/>
      <c r="W93" s="50"/>
      <c r="X93" s="50"/>
      <c r="Y93" s="50"/>
      <c r="Z93" s="50"/>
    </row>
    <row r="94" spans="1:26" ht="15.75" customHeight="1" x14ac:dyDescent="0.35">
      <c r="A94" s="50"/>
      <c r="B94" s="53" t="s">
        <v>172</v>
      </c>
      <c r="C94" s="50"/>
      <c r="D94" s="126">
        <f>'1.Red. Purch. Cost Vasc.'!F44*'Red. Purch. Cost Vascular-New'!D43</f>
        <v>54</v>
      </c>
      <c r="E94" s="126">
        <f t="shared" ref="E94:P94" si="45">D94*(1+$D$55)</f>
        <v>54.54</v>
      </c>
      <c r="F94" s="126">
        <f t="shared" si="45"/>
        <v>55.0854</v>
      </c>
      <c r="G94" s="126">
        <f t="shared" si="45"/>
        <v>55.636254000000001</v>
      </c>
      <c r="H94" s="126">
        <f t="shared" si="45"/>
        <v>56.192616540000003</v>
      </c>
      <c r="I94" s="126">
        <f t="shared" si="45"/>
        <v>56.754542705400006</v>
      </c>
      <c r="J94" s="126">
        <f t="shared" si="45"/>
        <v>57.322088132454006</v>
      </c>
      <c r="K94" s="126">
        <f t="shared" si="45"/>
        <v>57.895309013778544</v>
      </c>
      <c r="L94" s="126">
        <f t="shared" si="45"/>
        <v>58.474262103916331</v>
      </c>
      <c r="M94" s="126">
        <f t="shared" si="45"/>
        <v>59.059004724955493</v>
      </c>
      <c r="N94" s="126">
        <f t="shared" si="45"/>
        <v>59.649594772205049</v>
      </c>
      <c r="O94" s="126">
        <f t="shared" si="45"/>
        <v>60.246090719927096</v>
      </c>
      <c r="P94" s="126">
        <f t="shared" si="45"/>
        <v>60.848551627126369</v>
      </c>
      <c r="Q94" s="50"/>
      <c r="R94" s="50"/>
      <c r="S94" s="50"/>
      <c r="T94" s="50"/>
      <c r="U94" s="50"/>
      <c r="V94" s="50"/>
      <c r="W94" s="50"/>
      <c r="X94" s="50"/>
      <c r="Y94" s="50"/>
      <c r="Z94" s="50"/>
    </row>
    <row r="95" spans="1:26" ht="15.75" customHeight="1" x14ac:dyDescent="0.35">
      <c r="A95" s="50"/>
      <c r="B95" s="53" t="s">
        <v>173</v>
      </c>
      <c r="C95" s="47"/>
      <c r="D95" s="126">
        <f>'1.Red. Purch. Cost Vasc.'!F45*'Red. Purch. Cost Vascular-New'!D44</f>
        <v>41</v>
      </c>
      <c r="E95" s="126">
        <f t="shared" ref="E95:P95" si="46">D95*(1+$D$55)</f>
        <v>41.410000000000004</v>
      </c>
      <c r="F95" s="126">
        <f t="shared" si="46"/>
        <v>41.824100000000001</v>
      </c>
      <c r="G95" s="126">
        <f t="shared" si="46"/>
        <v>42.242341000000003</v>
      </c>
      <c r="H95" s="126">
        <f t="shared" si="46"/>
        <v>42.664764410000004</v>
      </c>
      <c r="I95" s="126">
        <f t="shared" si="46"/>
        <v>43.091412054100005</v>
      </c>
      <c r="J95" s="126">
        <f t="shared" si="46"/>
        <v>43.522326174641002</v>
      </c>
      <c r="K95" s="126">
        <f t="shared" si="46"/>
        <v>43.95754943638741</v>
      </c>
      <c r="L95" s="126">
        <f t="shared" si="46"/>
        <v>44.397124930751282</v>
      </c>
      <c r="M95" s="126">
        <f t="shared" si="46"/>
        <v>44.841096180058798</v>
      </c>
      <c r="N95" s="126">
        <f t="shared" si="46"/>
        <v>45.289507141859389</v>
      </c>
      <c r="O95" s="126">
        <f t="shared" si="46"/>
        <v>45.742402213277984</v>
      </c>
      <c r="P95" s="126">
        <f t="shared" si="46"/>
        <v>46.199826235410761</v>
      </c>
      <c r="Q95" s="50"/>
      <c r="R95" s="50"/>
      <c r="S95" s="50"/>
      <c r="T95" s="50"/>
      <c r="U95" s="50"/>
      <c r="V95" s="50"/>
      <c r="W95" s="50"/>
      <c r="X95" s="50"/>
      <c r="Y95" s="50"/>
      <c r="Z95" s="50"/>
    </row>
    <row r="96" spans="1:26" ht="15.75" customHeight="1" x14ac:dyDescent="0.35">
      <c r="A96" s="50"/>
      <c r="B96" s="53" t="s">
        <v>174</v>
      </c>
      <c r="C96" s="47"/>
      <c r="D96" s="126">
        <f>'1.Red. Purch. Cost Vasc.'!F46*'Red. Purch. Cost Vascular-New'!D45</f>
        <v>37</v>
      </c>
      <c r="E96" s="126">
        <f t="shared" ref="E96:P96" si="47">D96*(1+$D$55)</f>
        <v>37.369999999999997</v>
      </c>
      <c r="F96" s="126">
        <f t="shared" si="47"/>
        <v>37.743699999999997</v>
      </c>
      <c r="G96" s="126">
        <f t="shared" si="47"/>
        <v>38.121136999999997</v>
      </c>
      <c r="H96" s="126">
        <f t="shared" si="47"/>
        <v>38.50234837</v>
      </c>
      <c r="I96" s="126">
        <f t="shared" si="47"/>
        <v>38.887371853700003</v>
      </c>
      <c r="J96" s="126">
        <f t="shared" si="47"/>
        <v>39.276245572237002</v>
      </c>
      <c r="K96" s="126">
        <f t="shared" si="47"/>
        <v>39.669008027959372</v>
      </c>
      <c r="L96" s="126">
        <f t="shared" si="47"/>
        <v>40.065698108238962</v>
      </c>
      <c r="M96" s="126">
        <f t="shared" si="47"/>
        <v>40.466355089321354</v>
      </c>
      <c r="N96" s="126">
        <f t="shared" si="47"/>
        <v>40.871018640214565</v>
      </c>
      <c r="O96" s="126">
        <f t="shared" si="47"/>
        <v>41.279728826616712</v>
      </c>
      <c r="P96" s="126">
        <f t="shared" si="47"/>
        <v>41.692526114882881</v>
      </c>
      <c r="Q96" s="50"/>
      <c r="R96" s="50"/>
      <c r="S96" s="50"/>
      <c r="T96" s="50"/>
      <c r="U96" s="50"/>
      <c r="V96" s="50"/>
      <c r="W96" s="50"/>
      <c r="X96" s="50"/>
      <c r="Y96" s="50"/>
      <c r="Z96" s="50"/>
    </row>
    <row r="97" spans="1:26" ht="15.75" customHeight="1" x14ac:dyDescent="0.35">
      <c r="A97" s="50"/>
      <c r="B97" s="53" t="s">
        <v>175</v>
      </c>
      <c r="C97" s="47"/>
      <c r="D97" s="126">
        <f>'1.Red. Purch. Cost Vasc.'!F47*'Red. Purch. Cost Vascular-New'!D46</f>
        <v>37</v>
      </c>
      <c r="E97" s="126">
        <f t="shared" ref="E97:P97" si="48">D97*(1+$D$55)</f>
        <v>37.369999999999997</v>
      </c>
      <c r="F97" s="126">
        <f t="shared" si="48"/>
        <v>37.743699999999997</v>
      </c>
      <c r="G97" s="126">
        <f t="shared" si="48"/>
        <v>38.121136999999997</v>
      </c>
      <c r="H97" s="126">
        <f t="shared" si="48"/>
        <v>38.50234837</v>
      </c>
      <c r="I97" s="126">
        <f t="shared" si="48"/>
        <v>38.887371853700003</v>
      </c>
      <c r="J97" s="126">
        <f t="shared" si="48"/>
        <v>39.276245572237002</v>
      </c>
      <c r="K97" s="126">
        <f t="shared" si="48"/>
        <v>39.669008027959372</v>
      </c>
      <c r="L97" s="126">
        <f t="shared" si="48"/>
        <v>40.065698108238962</v>
      </c>
      <c r="M97" s="126">
        <f t="shared" si="48"/>
        <v>40.466355089321354</v>
      </c>
      <c r="N97" s="126">
        <f t="shared" si="48"/>
        <v>40.871018640214565</v>
      </c>
      <c r="O97" s="126">
        <f t="shared" si="48"/>
        <v>41.279728826616712</v>
      </c>
      <c r="P97" s="126">
        <f t="shared" si="48"/>
        <v>41.692526114882881</v>
      </c>
      <c r="Q97" s="50"/>
      <c r="R97" s="50"/>
      <c r="S97" s="50"/>
      <c r="T97" s="50"/>
      <c r="U97" s="50"/>
      <c r="V97" s="50"/>
      <c r="W97" s="50"/>
      <c r="X97" s="50"/>
      <c r="Y97" s="50"/>
      <c r="Z97" s="50"/>
    </row>
    <row r="98" spans="1:26" ht="15.75" customHeight="1" x14ac:dyDescent="0.35">
      <c r="A98" s="50"/>
      <c r="B98" s="53" t="s">
        <v>176</v>
      </c>
      <c r="C98" s="47"/>
      <c r="D98" s="126">
        <f>'1.Red. Purch. Cost Vasc.'!F48*'Red. Purch. Cost Vascular-New'!D47</f>
        <v>37</v>
      </c>
      <c r="E98" s="126">
        <f t="shared" ref="E98:P98" si="49">D98*(1+$D$55)</f>
        <v>37.369999999999997</v>
      </c>
      <c r="F98" s="126">
        <f t="shared" si="49"/>
        <v>37.743699999999997</v>
      </c>
      <c r="G98" s="126">
        <f t="shared" si="49"/>
        <v>38.121136999999997</v>
      </c>
      <c r="H98" s="126">
        <f t="shared" si="49"/>
        <v>38.50234837</v>
      </c>
      <c r="I98" s="126">
        <f t="shared" si="49"/>
        <v>38.887371853700003</v>
      </c>
      <c r="J98" s="126">
        <f t="shared" si="49"/>
        <v>39.276245572237002</v>
      </c>
      <c r="K98" s="126">
        <f t="shared" si="49"/>
        <v>39.669008027959372</v>
      </c>
      <c r="L98" s="126">
        <f t="shared" si="49"/>
        <v>40.065698108238962</v>
      </c>
      <c r="M98" s="126">
        <f t="shared" si="49"/>
        <v>40.466355089321354</v>
      </c>
      <c r="N98" s="126">
        <f t="shared" si="49"/>
        <v>40.871018640214565</v>
      </c>
      <c r="O98" s="126">
        <f t="shared" si="49"/>
        <v>41.279728826616712</v>
      </c>
      <c r="P98" s="126">
        <f t="shared" si="49"/>
        <v>41.692526114882881</v>
      </c>
      <c r="Q98" s="50"/>
      <c r="R98" s="50"/>
      <c r="S98" s="50"/>
      <c r="T98" s="50"/>
      <c r="U98" s="50"/>
      <c r="V98" s="50"/>
      <c r="W98" s="50"/>
      <c r="X98" s="50"/>
      <c r="Y98" s="50"/>
      <c r="Z98" s="50"/>
    </row>
    <row r="99" spans="1:26" ht="15.75" customHeight="1" x14ac:dyDescent="0.35">
      <c r="A99" s="50"/>
      <c r="B99" s="46" t="s">
        <v>236</v>
      </c>
      <c r="C99" s="47"/>
      <c r="D99" s="120"/>
      <c r="E99" s="120"/>
      <c r="F99" s="120"/>
      <c r="G99" s="120"/>
      <c r="H99" s="120"/>
      <c r="I99" s="120"/>
      <c r="J99" s="120"/>
      <c r="K99" s="120"/>
      <c r="L99" s="120"/>
      <c r="M99" s="120"/>
      <c r="N99" s="50"/>
      <c r="O99" s="50"/>
      <c r="P99" s="115"/>
      <c r="Q99" s="50"/>
      <c r="R99" s="50"/>
      <c r="S99" s="50"/>
      <c r="T99" s="50"/>
      <c r="U99" s="50"/>
      <c r="V99" s="50"/>
      <c r="W99" s="50"/>
      <c r="X99" s="50"/>
      <c r="Y99" s="50"/>
      <c r="Z99" s="50"/>
    </row>
    <row r="100" spans="1:26" ht="15.75" customHeight="1" x14ac:dyDescent="0.35">
      <c r="A100" s="50"/>
      <c r="B100" s="53" t="s">
        <v>165</v>
      </c>
      <c r="C100" s="47"/>
      <c r="D100" s="64">
        <f t="shared" ref="D100:P100" si="50">IFERROR(D75*D88,"")</f>
        <v>640</v>
      </c>
      <c r="E100" s="64">
        <f t="shared" si="50"/>
        <v>678.72</v>
      </c>
      <c r="F100" s="64">
        <f t="shared" si="50"/>
        <v>719.78255999999999</v>
      </c>
      <c r="G100" s="64">
        <f t="shared" si="50"/>
        <v>763.32940488000008</v>
      </c>
      <c r="H100" s="64">
        <f t="shared" si="50"/>
        <v>809.51083387524011</v>
      </c>
      <c r="I100" s="64">
        <f t="shared" si="50"/>
        <v>858.48623932469206</v>
      </c>
      <c r="J100" s="64">
        <f t="shared" si="50"/>
        <v>910.424656803836</v>
      </c>
      <c r="K100" s="64">
        <f t="shared" si="50"/>
        <v>965.50534854046805</v>
      </c>
      <c r="L100" s="64">
        <f t="shared" si="50"/>
        <v>1023.9184221271665</v>
      </c>
      <c r="M100" s="64">
        <f t="shared" si="50"/>
        <v>1085.8654866658603</v>
      </c>
      <c r="N100" s="64">
        <f t="shared" si="50"/>
        <v>1151.5603486091447</v>
      </c>
      <c r="O100" s="64">
        <f t="shared" si="50"/>
        <v>1221.2297496999981</v>
      </c>
      <c r="P100" s="64">
        <f t="shared" si="50"/>
        <v>1295.1141495568481</v>
      </c>
      <c r="Q100" s="50"/>
      <c r="R100" s="50"/>
      <c r="S100" s="50"/>
      <c r="T100" s="50"/>
      <c r="U100" s="50"/>
      <c r="V100" s="50"/>
      <c r="W100" s="50"/>
      <c r="X100" s="50"/>
      <c r="Y100" s="50"/>
      <c r="Z100" s="50"/>
    </row>
    <row r="101" spans="1:26" ht="15.75" customHeight="1" x14ac:dyDescent="0.35">
      <c r="A101" s="50"/>
      <c r="B101" s="53" t="s">
        <v>166</v>
      </c>
      <c r="C101" s="47"/>
      <c r="D101" s="64">
        <f t="shared" ref="D101:P101" si="51">IFERROR(D76*D89,"")</f>
        <v>300</v>
      </c>
      <c r="E101" s="64">
        <f t="shared" si="51"/>
        <v>318.15000000000003</v>
      </c>
      <c r="F101" s="64">
        <f t="shared" si="51"/>
        <v>337.39807500000001</v>
      </c>
      <c r="G101" s="64">
        <f t="shared" si="51"/>
        <v>357.81065853750005</v>
      </c>
      <c r="H101" s="64">
        <f t="shared" si="51"/>
        <v>379.45820337901881</v>
      </c>
      <c r="I101" s="64">
        <f t="shared" si="51"/>
        <v>402.41542468344949</v>
      </c>
      <c r="J101" s="64">
        <f t="shared" si="51"/>
        <v>426.76155787679824</v>
      </c>
      <c r="K101" s="64">
        <f t="shared" si="51"/>
        <v>452.58063212834458</v>
      </c>
      <c r="L101" s="64">
        <f t="shared" si="51"/>
        <v>479.9617603721095</v>
      </c>
      <c r="M101" s="64">
        <f t="shared" si="51"/>
        <v>508.99944687462209</v>
      </c>
      <c r="N101" s="64">
        <f t="shared" si="51"/>
        <v>539.79391341053679</v>
      </c>
      <c r="O101" s="64">
        <f t="shared" si="51"/>
        <v>572.4514451718743</v>
      </c>
      <c r="P101" s="64">
        <f t="shared" si="51"/>
        <v>607.08475760477256</v>
      </c>
      <c r="Q101" s="50"/>
      <c r="R101" s="50"/>
      <c r="S101" s="50"/>
      <c r="T101" s="50"/>
      <c r="U101" s="50"/>
      <c r="V101" s="50"/>
      <c r="W101" s="50"/>
      <c r="X101" s="50"/>
      <c r="Y101" s="50"/>
      <c r="Z101" s="50"/>
    </row>
    <row r="102" spans="1:26" ht="15.75" customHeight="1" x14ac:dyDescent="0.35">
      <c r="A102" s="50"/>
      <c r="B102" s="53" t="s">
        <v>167</v>
      </c>
      <c r="C102" s="47"/>
      <c r="D102" s="64">
        <f t="shared" ref="D102:P102" si="52">IFERROR(D77*D90,"")</f>
        <v>0</v>
      </c>
      <c r="E102" s="64">
        <f t="shared" si="52"/>
        <v>377.43699999999995</v>
      </c>
      <c r="F102" s="64">
        <f t="shared" si="52"/>
        <v>400.27193849999998</v>
      </c>
      <c r="G102" s="64">
        <f t="shared" si="52"/>
        <v>424.48839077924998</v>
      </c>
      <c r="H102" s="64">
        <f t="shared" si="52"/>
        <v>450.1699384213947</v>
      </c>
      <c r="I102" s="64">
        <f t="shared" si="52"/>
        <v>477.40521969588912</v>
      </c>
      <c r="J102" s="64">
        <f t="shared" si="52"/>
        <v>506.2882354874904</v>
      </c>
      <c r="K102" s="64">
        <f t="shared" si="52"/>
        <v>536.9186737344836</v>
      </c>
      <c r="L102" s="64">
        <f t="shared" si="52"/>
        <v>569.40225349541993</v>
      </c>
      <c r="M102" s="64">
        <f t="shared" si="52"/>
        <v>603.85108983189286</v>
      </c>
      <c r="N102" s="64">
        <f t="shared" si="52"/>
        <v>640.38408076672238</v>
      </c>
      <c r="O102" s="64">
        <f t="shared" si="52"/>
        <v>679.12731765310912</v>
      </c>
      <c r="P102" s="64">
        <f t="shared" si="52"/>
        <v>720.21452037112226</v>
      </c>
      <c r="Q102" s="50"/>
      <c r="R102" s="50"/>
      <c r="S102" s="50"/>
      <c r="T102" s="50"/>
      <c r="U102" s="50"/>
      <c r="V102" s="50"/>
      <c r="W102" s="50"/>
      <c r="X102" s="50"/>
      <c r="Y102" s="50"/>
      <c r="Z102" s="50"/>
    </row>
    <row r="103" spans="1:26" ht="15.75" customHeight="1" x14ac:dyDescent="0.35">
      <c r="A103" s="50"/>
      <c r="B103" s="53" t="s">
        <v>169</v>
      </c>
      <c r="C103" s="47"/>
      <c r="D103" s="64">
        <f t="shared" ref="D103:P103" si="53">IFERROR(D78*D91,"")</f>
        <v>370</v>
      </c>
      <c r="E103" s="64">
        <f t="shared" si="53"/>
        <v>392.38499999999999</v>
      </c>
      <c r="F103" s="64">
        <f t="shared" si="53"/>
        <v>416.12429249999997</v>
      </c>
      <c r="G103" s="64">
        <f t="shared" si="53"/>
        <v>441.29981219625006</v>
      </c>
      <c r="H103" s="64">
        <f t="shared" si="53"/>
        <v>467.99845083412316</v>
      </c>
      <c r="I103" s="64">
        <f t="shared" si="53"/>
        <v>496.31235710958771</v>
      </c>
      <c r="J103" s="64">
        <f t="shared" si="53"/>
        <v>526.33925471471775</v>
      </c>
      <c r="K103" s="64">
        <f t="shared" si="53"/>
        <v>558.18277962495824</v>
      </c>
      <c r="L103" s="64">
        <f t="shared" si="53"/>
        <v>591.95283779226816</v>
      </c>
      <c r="M103" s="64">
        <f t="shared" si="53"/>
        <v>627.76598447870049</v>
      </c>
      <c r="N103" s="64">
        <f t="shared" si="53"/>
        <v>665.74582653966183</v>
      </c>
      <c r="O103" s="64">
        <f t="shared" si="53"/>
        <v>706.02344904531139</v>
      </c>
      <c r="P103" s="64">
        <f t="shared" si="53"/>
        <v>748.73786771255277</v>
      </c>
      <c r="Q103" s="50"/>
      <c r="R103" s="50"/>
      <c r="S103" s="50"/>
      <c r="T103" s="50"/>
      <c r="U103" s="50"/>
      <c r="V103" s="50"/>
      <c r="W103" s="50"/>
      <c r="X103" s="50"/>
      <c r="Y103" s="50"/>
      <c r="Z103" s="50"/>
    </row>
    <row r="104" spans="1:26" ht="15.75" customHeight="1" x14ac:dyDescent="0.35">
      <c r="A104" s="50"/>
      <c r="B104" s="53" t="s">
        <v>170</v>
      </c>
      <c r="C104" s="47"/>
      <c r="D104" s="64">
        <f t="shared" ref="D104:P104" si="54">IFERROR(D79*D92,"")</f>
        <v>370</v>
      </c>
      <c r="E104" s="64">
        <f t="shared" si="54"/>
        <v>392.38499999999999</v>
      </c>
      <c r="F104" s="64">
        <f t="shared" si="54"/>
        <v>416.12429249999997</v>
      </c>
      <c r="G104" s="64">
        <f t="shared" si="54"/>
        <v>441.29981219625006</v>
      </c>
      <c r="H104" s="64">
        <f t="shared" si="54"/>
        <v>467.99845083412316</v>
      </c>
      <c r="I104" s="64">
        <f t="shared" si="54"/>
        <v>496.31235710958771</v>
      </c>
      <c r="J104" s="64">
        <f t="shared" si="54"/>
        <v>526.33925471471775</v>
      </c>
      <c r="K104" s="64">
        <f t="shared" si="54"/>
        <v>558.18277962495824</v>
      </c>
      <c r="L104" s="64">
        <f t="shared" si="54"/>
        <v>591.95283779226816</v>
      </c>
      <c r="M104" s="64">
        <f t="shared" si="54"/>
        <v>627.76598447870049</v>
      </c>
      <c r="N104" s="64">
        <f t="shared" si="54"/>
        <v>665.74582653966183</v>
      </c>
      <c r="O104" s="64">
        <f t="shared" si="54"/>
        <v>706.02344904531139</v>
      </c>
      <c r="P104" s="64">
        <f t="shared" si="54"/>
        <v>748.73786771255277</v>
      </c>
      <c r="Q104" s="50"/>
      <c r="R104" s="50"/>
      <c r="S104" s="50"/>
      <c r="T104" s="50"/>
      <c r="U104" s="50"/>
      <c r="V104" s="50"/>
      <c r="W104" s="50"/>
      <c r="X104" s="50"/>
      <c r="Y104" s="50"/>
      <c r="Z104" s="50"/>
    </row>
    <row r="105" spans="1:26" ht="15.75" customHeight="1" x14ac:dyDescent="0.35">
      <c r="A105" s="50"/>
      <c r="B105" s="53" t="s">
        <v>171</v>
      </c>
      <c r="C105" s="47"/>
      <c r="D105" s="64">
        <f t="shared" ref="D105:P105" si="55">IFERROR(D80*D93,"")</f>
        <v>0</v>
      </c>
      <c r="E105" s="64">
        <f t="shared" si="55"/>
        <v>0</v>
      </c>
      <c r="F105" s="64">
        <f t="shared" si="55"/>
        <v>385.02348369999999</v>
      </c>
      <c r="G105" s="64">
        <f t="shared" si="55"/>
        <v>408.31740446384998</v>
      </c>
      <c r="H105" s="64">
        <f t="shared" si="55"/>
        <v>433.02060743391291</v>
      </c>
      <c r="I105" s="64">
        <f t="shared" si="55"/>
        <v>459.2183541836647</v>
      </c>
      <c r="J105" s="64">
        <f t="shared" si="55"/>
        <v>487.00106461177643</v>
      </c>
      <c r="K105" s="64">
        <f t="shared" si="55"/>
        <v>516.46462902078883</v>
      </c>
      <c r="L105" s="64">
        <f t="shared" si="55"/>
        <v>547.71073907654659</v>
      </c>
      <c r="M105" s="64">
        <f t="shared" si="55"/>
        <v>580.84723879067769</v>
      </c>
      <c r="N105" s="64">
        <f t="shared" si="55"/>
        <v>615.98849673751374</v>
      </c>
      <c r="O105" s="64">
        <f t="shared" si="55"/>
        <v>653.25580079013332</v>
      </c>
      <c r="P105" s="64">
        <f t="shared" si="55"/>
        <v>692.77777673793639</v>
      </c>
      <c r="Q105" s="50"/>
      <c r="R105" s="50"/>
      <c r="S105" s="50"/>
      <c r="T105" s="50"/>
      <c r="U105" s="50"/>
      <c r="V105" s="50"/>
      <c r="W105" s="50"/>
      <c r="X105" s="50"/>
      <c r="Y105" s="50"/>
      <c r="Z105" s="50"/>
    </row>
    <row r="106" spans="1:26" ht="15.75" customHeight="1" x14ac:dyDescent="0.35">
      <c r="A106" s="50"/>
      <c r="B106" s="53" t="s">
        <v>172</v>
      </c>
      <c r="C106" s="47"/>
      <c r="D106" s="64">
        <f t="shared" ref="D106:P106" si="56">IFERROR(D81*D94,"")</f>
        <v>0</v>
      </c>
      <c r="E106" s="64">
        <f t="shared" si="56"/>
        <v>0</v>
      </c>
      <c r="F106" s="64">
        <f t="shared" si="56"/>
        <v>561.92616540000006</v>
      </c>
      <c r="G106" s="64">
        <f t="shared" si="56"/>
        <v>595.92269840669996</v>
      </c>
      <c r="H106" s="64">
        <f t="shared" si="56"/>
        <v>631.97602166030538</v>
      </c>
      <c r="I106" s="64">
        <f t="shared" si="56"/>
        <v>670.21057097075391</v>
      </c>
      <c r="J106" s="64">
        <f t="shared" si="56"/>
        <v>710.75831051448449</v>
      </c>
      <c r="K106" s="64">
        <f t="shared" si="56"/>
        <v>753.75918830061084</v>
      </c>
      <c r="L106" s="64">
        <f t="shared" si="56"/>
        <v>799.36161919279778</v>
      </c>
      <c r="M106" s="64">
        <f t="shared" si="56"/>
        <v>847.72299715396207</v>
      </c>
      <c r="N106" s="64">
        <f t="shared" si="56"/>
        <v>899.01023848177692</v>
      </c>
      <c r="O106" s="64">
        <f t="shared" si="56"/>
        <v>953.40035790992442</v>
      </c>
      <c r="P106" s="64">
        <f t="shared" si="56"/>
        <v>1011.0810795634748</v>
      </c>
      <c r="Q106" s="50"/>
      <c r="R106" s="50"/>
      <c r="S106" s="50"/>
      <c r="T106" s="50"/>
      <c r="U106" s="50"/>
      <c r="V106" s="50"/>
      <c r="W106" s="50"/>
      <c r="X106" s="50"/>
      <c r="Y106" s="50"/>
      <c r="Z106" s="50"/>
    </row>
    <row r="107" spans="1:26" ht="15.75" customHeight="1" x14ac:dyDescent="0.35">
      <c r="A107" s="50"/>
      <c r="B107" s="53" t="s">
        <v>173</v>
      </c>
      <c r="C107" s="47"/>
      <c r="D107" s="64">
        <f t="shared" ref="D107:P107" si="57">IFERROR(D82*D95,"")</f>
        <v>0</v>
      </c>
      <c r="E107" s="64">
        <f t="shared" si="57"/>
        <v>0</v>
      </c>
      <c r="F107" s="64">
        <f t="shared" si="57"/>
        <v>426.64764410000004</v>
      </c>
      <c r="G107" s="64">
        <f t="shared" si="57"/>
        <v>452.45982656805006</v>
      </c>
      <c r="H107" s="64">
        <f t="shared" si="57"/>
        <v>479.83364607541705</v>
      </c>
      <c r="I107" s="64">
        <f t="shared" si="57"/>
        <v>508.86358166297981</v>
      </c>
      <c r="J107" s="64">
        <f t="shared" si="57"/>
        <v>539.64982835359012</v>
      </c>
      <c r="K107" s="64">
        <f t="shared" si="57"/>
        <v>572.29864296898222</v>
      </c>
      <c r="L107" s="64">
        <f t="shared" si="57"/>
        <v>606.92271086860569</v>
      </c>
      <c r="M107" s="64">
        <f t="shared" si="57"/>
        <v>643.64153487615636</v>
      </c>
      <c r="N107" s="64">
        <f t="shared" si="57"/>
        <v>682.58184773616392</v>
      </c>
      <c r="O107" s="64">
        <f t="shared" si="57"/>
        <v>723.87804952420186</v>
      </c>
      <c r="P107" s="64">
        <f t="shared" si="57"/>
        <v>767.67267152041609</v>
      </c>
      <c r="Q107" s="50"/>
      <c r="R107" s="50"/>
      <c r="S107" s="50"/>
      <c r="T107" s="50"/>
      <c r="U107" s="50"/>
      <c r="V107" s="50"/>
      <c r="W107" s="50"/>
      <c r="X107" s="50"/>
      <c r="Y107" s="50"/>
      <c r="Z107" s="50"/>
    </row>
    <row r="108" spans="1:26" ht="15.75" customHeight="1" x14ac:dyDescent="0.35">
      <c r="A108" s="50"/>
      <c r="B108" s="53" t="s">
        <v>174</v>
      </c>
      <c r="C108" s="47"/>
      <c r="D108" s="64">
        <f t="shared" ref="D108:P108" si="58">IFERROR(D83*D96,"")</f>
        <v>0</v>
      </c>
      <c r="E108" s="64">
        <f t="shared" si="58"/>
        <v>0</v>
      </c>
      <c r="F108" s="64">
        <f t="shared" si="58"/>
        <v>385.02348369999999</v>
      </c>
      <c r="G108" s="64">
        <f t="shared" si="58"/>
        <v>408.31740446384998</v>
      </c>
      <c r="H108" s="64">
        <f t="shared" si="58"/>
        <v>433.02060743391291</v>
      </c>
      <c r="I108" s="64">
        <f t="shared" si="58"/>
        <v>459.2183541836647</v>
      </c>
      <c r="J108" s="64">
        <f t="shared" si="58"/>
        <v>487.00106461177643</v>
      </c>
      <c r="K108" s="64">
        <f t="shared" si="58"/>
        <v>516.46462902078883</v>
      </c>
      <c r="L108" s="64">
        <f t="shared" si="58"/>
        <v>547.71073907654659</v>
      </c>
      <c r="M108" s="64">
        <f t="shared" si="58"/>
        <v>580.84723879067769</v>
      </c>
      <c r="N108" s="64">
        <f t="shared" si="58"/>
        <v>615.98849673751374</v>
      </c>
      <c r="O108" s="64">
        <f t="shared" si="58"/>
        <v>653.25580079013332</v>
      </c>
      <c r="P108" s="64">
        <f t="shared" si="58"/>
        <v>692.77777673793639</v>
      </c>
      <c r="Q108" s="50"/>
      <c r="R108" s="50"/>
      <c r="S108" s="50"/>
      <c r="T108" s="50"/>
      <c r="U108" s="50"/>
      <c r="V108" s="50"/>
      <c r="W108" s="50"/>
      <c r="X108" s="50"/>
      <c r="Y108" s="50"/>
      <c r="Z108" s="50"/>
    </row>
    <row r="109" spans="1:26" ht="15.75" customHeight="1" x14ac:dyDescent="0.35">
      <c r="A109" s="50"/>
      <c r="B109" s="53" t="s">
        <v>175</v>
      </c>
      <c r="C109" s="47"/>
      <c r="D109" s="64">
        <f t="shared" ref="D109:P109" si="59">IFERROR(D84*D97,"")</f>
        <v>0</v>
      </c>
      <c r="E109" s="64">
        <f t="shared" si="59"/>
        <v>0</v>
      </c>
      <c r="F109" s="64">
        <f t="shared" si="59"/>
        <v>385.02348369999999</v>
      </c>
      <c r="G109" s="64">
        <f t="shared" si="59"/>
        <v>408.31740446384998</v>
      </c>
      <c r="H109" s="64">
        <f t="shared" si="59"/>
        <v>433.02060743391291</v>
      </c>
      <c r="I109" s="64">
        <f t="shared" si="59"/>
        <v>459.2183541836647</v>
      </c>
      <c r="J109" s="64">
        <f t="shared" si="59"/>
        <v>487.00106461177643</v>
      </c>
      <c r="K109" s="64">
        <f t="shared" si="59"/>
        <v>516.46462902078883</v>
      </c>
      <c r="L109" s="64">
        <f t="shared" si="59"/>
        <v>547.71073907654659</v>
      </c>
      <c r="M109" s="64">
        <f t="shared" si="59"/>
        <v>580.84723879067769</v>
      </c>
      <c r="N109" s="64">
        <f t="shared" si="59"/>
        <v>615.98849673751374</v>
      </c>
      <c r="O109" s="64">
        <f t="shared" si="59"/>
        <v>653.25580079013332</v>
      </c>
      <c r="P109" s="64">
        <f t="shared" si="59"/>
        <v>692.77777673793639</v>
      </c>
      <c r="Q109" s="50"/>
      <c r="R109" s="50"/>
      <c r="S109" s="50"/>
      <c r="T109" s="50"/>
      <c r="U109" s="50"/>
      <c r="V109" s="50"/>
      <c r="W109" s="50"/>
      <c r="X109" s="50"/>
      <c r="Y109" s="50"/>
      <c r="Z109" s="50"/>
    </row>
    <row r="110" spans="1:26" ht="15.75" customHeight="1" x14ac:dyDescent="0.35">
      <c r="A110" s="50"/>
      <c r="B110" s="53" t="s">
        <v>176</v>
      </c>
      <c r="C110" s="47"/>
      <c r="D110" s="64">
        <f t="shared" ref="D110:P110" si="60">IFERROR(D85*D98,"")</f>
        <v>0</v>
      </c>
      <c r="E110" s="64">
        <f t="shared" si="60"/>
        <v>0</v>
      </c>
      <c r="F110" s="64">
        <f t="shared" si="60"/>
        <v>385.02348369999999</v>
      </c>
      <c r="G110" s="64">
        <f t="shared" si="60"/>
        <v>408.31740446384998</v>
      </c>
      <c r="H110" s="64">
        <f t="shared" si="60"/>
        <v>433.02060743391291</v>
      </c>
      <c r="I110" s="64">
        <f t="shared" si="60"/>
        <v>459.2183541836647</v>
      </c>
      <c r="J110" s="64">
        <f t="shared" si="60"/>
        <v>487.00106461177643</v>
      </c>
      <c r="K110" s="64">
        <f t="shared" si="60"/>
        <v>516.46462902078883</v>
      </c>
      <c r="L110" s="64">
        <f t="shared" si="60"/>
        <v>547.71073907654659</v>
      </c>
      <c r="M110" s="64">
        <f t="shared" si="60"/>
        <v>580.84723879067769</v>
      </c>
      <c r="N110" s="64">
        <f t="shared" si="60"/>
        <v>615.98849673751374</v>
      </c>
      <c r="O110" s="64">
        <f t="shared" si="60"/>
        <v>653.25580079013332</v>
      </c>
      <c r="P110" s="64">
        <f t="shared" si="60"/>
        <v>692.77777673793639</v>
      </c>
      <c r="Q110" s="50"/>
      <c r="R110" s="50"/>
      <c r="S110" s="50"/>
      <c r="T110" s="50"/>
      <c r="U110" s="50"/>
      <c r="V110" s="50"/>
      <c r="W110" s="50"/>
      <c r="X110" s="50"/>
      <c r="Y110" s="50"/>
      <c r="Z110" s="50"/>
    </row>
    <row r="111" spans="1:26" ht="15.75" customHeight="1" x14ac:dyDescent="0.35">
      <c r="A111" s="32"/>
      <c r="B111" s="58" t="s">
        <v>65</v>
      </c>
      <c r="C111" s="65"/>
      <c r="D111" s="129">
        <f t="shared" ref="D111:P111" si="61">SUM(D100:D110)</f>
        <v>1680</v>
      </c>
      <c r="E111" s="129">
        <f t="shared" si="61"/>
        <v>2159.0770000000002</v>
      </c>
      <c r="F111" s="129">
        <f t="shared" si="61"/>
        <v>4818.3689027999999</v>
      </c>
      <c r="G111" s="129">
        <f t="shared" si="61"/>
        <v>5109.8802214194002</v>
      </c>
      <c r="H111" s="129">
        <f t="shared" si="61"/>
        <v>5419.0279748152743</v>
      </c>
      <c r="I111" s="129">
        <f t="shared" si="61"/>
        <v>5746.8791672915986</v>
      </c>
      <c r="J111" s="129">
        <f t="shared" si="61"/>
        <v>6094.5653569127398</v>
      </c>
      <c r="K111" s="129">
        <f t="shared" si="61"/>
        <v>6463.2865610059616</v>
      </c>
      <c r="L111" s="129">
        <f t="shared" si="61"/>
        <v>6854.3153979468225</v>
      </c>
      <c r="M111" s="129">
        <f t="shared" si="61"/>
        <v>7269.0014795226052</v>
      </c>
      <c r="N111" s="129">
        <f t="shared" si="61"/>
        <v>7708.7760690337218</v>
      </c>
      <c r="O111" s="129">
        <f t="shared" si="61"/>
        <v>8175.1570212102633</v>
      </c>
      <c r="P111" s="129">
        <f t="shared" si="61"/>
        <v>8669.754020993485</v>
      </c>
      <c r="Q111" s="32"/>
      <c r="R111" s="32"/>
      <c r="S111" s="32"/>
      <c r="T111" s="32"/>
      <c r="U111" s="32"/>
      <c r="V111" s="32"/>
      <c r="W111" s="32"/>
      <c r="X111" s="32"/>
      <c r="Y111" s="32"/>
      <c r="Z111" s="32"/>
    </row>
    <row r="112" spans="1:26" ht="15.75" customHeight="1" x14ac:dyDescent="0.35">
      <c r="A112" s="50"/>
      <c r="B112" s="219" t="s">
        <v>137</v>
      </c>
      <c r="C112" s="220" t="s">
        <v>138</v>
      </c>
      <c r="D112" s="221">
        <f t="array" ref="D112">NPV($D$56,D111:P111)</f>
        <v>51702.846181660847</v>
      </c>
      <c r="E112" s="134"/>
      <c r="F112" s="135"/>
      <c r="G112" s="134"/>
      <c r="H112" s="134"/>
      <c r="I112" s="134"/>
      <c r="J112" s="134"/>
      <c r="K112" s="134"/>
      <c r="L112" s="134"/>
      <c r="M112" s="134"/>
      <c r="N112" s="134"/>
      <c r="O112" s="134"/>
      <c r="P112" s="136"/>
      <c r="Q112" s="50"/>
      <c r="R112" s="50"/>
      <c r="S112" s="50"/>
      <c r="T112" s="50"/>
      <c r="U112" s="50"/>
      <c r="V112" s="50"/>
      <c r="W112" s="50"/>
      <c r="X112" s="50"/>
      <c r="Y112" s="50"/>
      <c r="Z112" s="50"/>
    </row>
    <row r="113" spans="1:26" ht="15.75" customHeight="1" x14ac:dyDescent="0.3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137" t="s">
        <v>55</v>
      </c>
      <c r="C114" s="138"/>
      <c r="D114" s="566" t="s">
        <v>129</v>
      </c>
      <c r="E114" s="552"/>
      <c r="F114" s="553"/>
      <c r="G114" s="139" t="s">
        <v>130</v>
      </c>
      <c r="H114" s="138"/>
      <c r="I114" s="138"/>
      <c r="J114" s="138"/>
      <c r="K114" s="138"/>
      <c r="L114" s="138"/>
      <c r="M114" s="138"/>
      <c r="N114" s="138"/>
      <c r="O114" s="138"/>
      <c r="P114" s="140"/>
      <c r="Q114" s="50"/>
      <c r="R114" s="50"/>
      <c r="S114" s="50"/>
      <c r="T114" s="50"/>
      <c r="U114" s="50"/>
      <c r="V114" s="50"/>
      <c r="W114" s="50"/>
      <c r="X114" s="50"/>
      <c r="Y114" s="50"/>
      <c r="Z114" s="50"/>
    </row>
    <row r="115" spans="1:26" ht="15.75" customHeight="1" x14ac:dyDescent="0.35">
      <c r="A115" s="50"/>
      <c r="B115" s="141"/>
      <c r="C115" s="142"/>
      <c r="D115" s="143">
        <f>D60</f>
        <v>1</v>
      </c>
      <c r="E115" s="143">
        <f>+D115+1</f>
        <v>2</v>
      </c>
      <c r="F115" s="143">
        <f t="shared" ref="F115:P115" si="62">E115+1</f>
        <v>3</v>
      </c>
      <c r="G115" s="143">
        <f t="shared" si="62"/>
        <v>4</v>
      </c>
      <c r="H115" s="143">
        <f t="shared" si="62"/>
        <v>5</v>
      </c>
      <c r="I115" s="143">
        <f t="shared" si="62"/>
        <v>6</v>
      </c>
      <c r="J115" s="143">
        <f t="shared" si="62"/>
        <v>7</v>
      </c>
      <c r="K115" s="143">
        <f t="shared" si="62"/>
        <v>8</v>
      </c>
      <c r="L115" s="143">
        <f t="shared" si="62"/>
        <v>9</v>
      </c>
      <c r="M115" s="143">
        <f t="shared" si="62"/>
        <v>10</v>
      </c>
      <c r="N115" s="143">
        <f t="shared" si="62"/>
        <v>11</v>
      </c>
      <c r="O115" s="143">
        <f t="shared" si="62"/>
        <v>12</v>
      </c>
      <c r="P115" s="144">
        <f t="shared" si="62"/>
        <v>13</v>
      </c>
      <c r="Q115" s="50"/>
      <c r="R115" s="50"/>
      <c r="S115" s="50"/>
      <c r="T115" s="50"/>
      <c r="U115" s="50"/>
      <c r="V115" s="50"/>
      <c r="W115" s="50"/>
      <c r="X115" s="50"/>
      <c r="Y115" s="50"/>
      <c r="Z115" s="50"/>
    </row>
    <row r="116" spans="1:26" ht="15.75" customHeight="1" x14ac:dyDescent="0.35">
      <c r="A116" s="50"/>
      <c r="B116" s="46" t="s">
        <v>220</v>
      </c>
      <c r="C116" s="47"/>
      <c r="D116" s="49"/>
      <c r="E116" s="49"/>
      <c r="F116" s="49"/>
      <c r="G116" s="49"/>
      <c r="H116" s="49"/>
      <c r="I116" s="49"/>
      <c r="J116" s="49"/>
      <c r="K116" s="49"/>
      <c r="L116" s="49"/>
      <c r="M116" s="49"/>
      <c r="N116" s="50"/>
      <c r="O116" s="50"/>
      <c r="P116" s="115"/>
      <c r="Q116" s="50"/>
      <c r="R116" s="50"/>
      <c r="S116" s="50"/>
      <c r="T116" s="50"/>
      <c r="U116" s="50"/>
      <c r="V116" s="50"/>
      <c r="W116" s="50"/>
      <c r="X116" s="50"/>
      <c r="Y116" s="50"/>
      <c r="Z116" s="50"/>
    </row>
    <row r="117" spans="1:26" ht="15.75" customHeight="1" x14ac:dyDescent="0.35">
      <c r="A117" s="50"/>
      <c r="B117" s="53" t="s">
        <v>165</v>
      </c>
      <c r="C117" s="47" t="s">
        <v>109</v>
      </c>
      <c r="D117" s="145">
        <f t="shared" ref="D117:P117" si="63">IFERROR(D75/D62,"")</f>
        <v>0.01</v>
      </c>
      <c r="E117" s="145">
        <f t="shared" si="63"/>
        <v>1.0396039603960397E-2</v>
      </c>
      <c r="F117" s="145">
        <f t="shared" si="63"/>
        <v>1.0807763944711304E-2</v>
      </c>
      <c r="G117" s="145">
        <f t="shared" si="63"/>
        <v>1.1235794199947396E-2</v>
      </c>
      <c r="H117" s="145">
        <f t="shared" si="63"/>
        <v>1.1680776148460163E-2</v>
      </c>
      <c r="I117" s="145">
        <f t="shared" si="63"/>
        <v>1.2143381144438786E-2</v>
      </c>
      <c r="J117" s="145">
        <f t="shared" si="63"/>
        <v>1.2624307130357155E-2</v>
      </c>
      <c r="K117" s="145">
        <f t="shared" si="63"/>
        <v>1.3124279689975262E-2</v>
      </c>
      <c r="L117" s="145">
        <f t="shared" si="63"/>
        <v>1.3644053143043589E-2</v>
      </c>
      <c r="M117" s="145">
        <f t="shared" si="63"/>
        <v>1.4184411683362147E-2</v>
      </c>
      <c r="N117" s="145">
        <f t="shared" si="63"/>
        <v>1.4746170561911142E-2</v>
      </c>
      <c r="O117" s="145">
        <f t="shared" si="63"/>
        <v>1.5330177316838318E-2</v>
      </c>
      <c r="P117" s="146">
        <f t="shared" si="63"/>
        <v>1.5937313052158647E-2</v>
      </c>
      <c r="Q117" s="50"/>
      <c r="R117" s="50"/>
      <c r="S117" s="50"/>
      <c r="T117" s="50"/>
      <c r="U117" s="50"/>
      <c r="V117" s="50"/>
      <c r="W117" s="50"/>
      <c r="X117" s="50"/>
      <c r="Y117" s="50"/>
      <c r="Z117" s="50"/>
    </row>
    <row r="118" spans="1:26" ht="15.75" customHeight="1" x14ac:dyDescent="0.35">
      <c r="A118" s="50"/>
      <c r="B118" s="53" t="s">
        <v>166</v>
      </c>
      <c r="C118" s="47" t="s">
        <v>109</v>
      </c>
      <c r="D118" s="145">
        <f t="shared" ref="D118:P118" si="64">IFERROR(D76/D63,"")</f>
        <v>0.01</v>
      </c>
      <c r="E118" s="145">
        <f t="shared" si="64"/>
        <v>1.0396039603960397E-2</v>
      </c>
      <c r="F118" s="145">
        <f t="shared" si="64"/>
        <v>1.0807763944711304E-2</v>
      </c>
      <c r="G118" s="145">
        <f t="shared" si="64"/>
        <v>1.1235794199947396E-2</v>
      </c>
      <c r="H118" s="145">
        <f t="shared" si="64"/>
        <v>1.1680776148460163E-2</v>
      </c>
      <c r="I118" s="145">
        <f t="shared" si="64"/>
        <v>1.2143381144438786E-2</v>
      </c>
      <c r="J118" s="145">
        <f t="shared" si="64"/>
        <v>1.2624307130357155E-2</v>
      </c>
      <c r="K118" s="145">
        <f t="shared" si="64"/>
        <v>1.3124279689975262E-2</v>
      </c>
      <c r="L118" s="145">
        <f t="shared" si="64"/>
        <v>1.3644053143043589E-2</v>
      </c>
      <c r="M118" s="145">
        <f t="shared" si="64"/>
        <v>1.4184411683362147E-2</v>
      </c>
      <c r="N118" s="145">
        <f t="shared" si="64"/>
        <v>1.4746170561911142E-2</v>
      </c>
      <c r="O118" s="145">
        <f t="shared" si="64"/>
        <v>1.5330177316838318E-2</v>
      </c>
      <c r="P118" s="146">
        <f t="shared" si="64"/>
        <v>1.5937313052158647E-2</v>
      </c>
      <c r="Q118" s="50"/>
      <c r="R118" s="50"/>
      <c r="S118" s="50"/>
      <c r="T118" s="50"/>
      <c r="U118" s="50"/>
      <c r="V118" s="50"/>
      <c r="W118" s="50"/>
      <c r="X118" s="50"/>
      <c r="Y118" s="50"/>
      <c r="Z118" s="50"/>
    </row>
    <row r="119" spans="1:26" ht="15.75" customHeight="1" x14ac:dyDescent="0.35">
      <c r="A119" s="50"/>
      <c r="B119" s="53" t="s">
        <v>167</v>
      </c>
      <c r="C119" s="47" t="s">
        <v>109</v>
      </c>
      <c r="D119" s="145">
        <f t="shared" ref="D119:P119" si="65">IFERROR(D77/D64,"")</f>
        <v>0</v>
      </c>
      <c r="E119" s="145">
        <f t="shared" si="65"/>
        <v>0.01</v>
      </c>
      <c r="F119" s="145">
        <f t="shared" si="65"/>
        <v>1.0396039603960397E-2</v>
      </c>
      <c r="G119" s="145">
        <f t="shared" si="65"/>
        <v>1.0807763944711304E-2</v>
      </c>
      <c r="H119" s="145">
        <f t="shared" si="65"/>
        <v>1.1235794199947396E-2</v>
      </c>
      <c r="I119" s="145">
        <f t="shared" si="65"/>
        <v>1.1680776148460165E-2</v>
      </c>
      <c r="J119" s="145">
        <f t="shared" si="65"/>
        <v>1.2143381144438787E-2</v>
      </c>
      <c r="K119" s="145">
        <f t="shared" si="65"/>
        <v>1.2624307130357155E-2</v>
      </c>
      <c r="L119" s="145">
        <f t="shared" si="65"/>
        <v>1.3124279689975262E-2</v>
      </c>
      <c r="M119" s="145">
        <f t="shared" si="65"/>
        <v>1.3644053143043589E-2</v>
      </c>
      <c r="N119" s="145">
        <f t="shared" si="65"/>
        <v>1.4184411683362146E-2</v>
      </c>
      <c r="O119" s="145">
        <f t="shared" si="65"/>
        <v>1.4746170561911146E-2</v>
      </c>
      <c r="P119" s="146">
        <f t="shared" si="65"/>
        <v>1.5330177316838316E-2</v>
      </c>
      <c r="Q119" s="50"/>
      <c r="R119" s="50"/>
      <c r="S119" s="50"/>
      <c r="T119" s="50"/>
      <c r="U119" s="50"/>
      <c r="V119" s="50"/>
      <c r="W119" s="50"/>
      <c r="X119" s="50"/>
      <c r="Y119" s="50"/>
      <c r="Z119" s="50"/>
    </row>
    <row r="120" spans="1:26" ht="15.75" customHeight="1" x14ac:dyDescent="0.35">
      <c r="A120" s="50"/>
      <c r="B120" s="53" t="s">
        <v>169</v>
      </c>
      <c r="C120" s="47" t="s">
        <v>109</v>
      </c>
      <c r="D120" s="145">
        <f t="shared" ref="D120:P120" si="66">IFERROR(D78/D65,"")</f>
        <v>0.01</v>
      </c>
      <c r="E120" s="145">
        <f t="shared" si="66"/>
        <v>1.0396039603960397E-2</v>
      </c>
      <c r="F120" s="145">
        <f t="shared" si="66"/>
        <v>1.0807763944711304E-2</v>
      </c>
      <c r="G120" s="145">
        <f t="shared" si="66"/>
        <v>1.1235794199947396E-2</v>
      </c>
      <c r="H120" s="145">
        <f t="shared" si="66"/>
        <v>1.1680776148460163E-2</v>
      </c>
      <c r="I120" s="145">
        <f t="shared" si="66"/>
        <v>1.2143381144438786E-2</v>
      </c>
      <c r="J120" s="145">
        <f t="shared" si="66"/>
        <v>1.2624307130357155E-2</v>
      </c>
      <c r="K120" s="145">
        <f t="shared" si="66"/>
        <v>1.3124279689975262E-2</v>
      </c>
      <c r="L120" s="145">
        <f t="shared" si="66"/>
        <v>1.3644053143043589E-2</v>
      </c>
      <c r="M120" s="145">
        <f t="shared" si="66"/>
        <v>1.4184411683362147E-2</v>
      </c>
      <c r="N120" s="145">
        <f t="shared" si="66"/>
        <v>1.4746170561911142E-2</v>
      </c>
      <c r="O120" s="145">
        <f t="shared" si="66"/>
        <v>1.5330177316838318E-2</v>
      </c>
      <c r="P120" s="146">
        <f t="shared" si="66"/>
        <v>1.5937313052158647E-2</v>
      </c>
      <c r="Q120" s="50"/>
      <c r="R120" s="50"/>
      <c r="S120" s="50"/>
      <c r="T120" s="50"/>
      <c r="U120" s="50"/>
      <c r="V120" s="50"/>
      <c r="W120" s="50"/>
      <c r="X120" s="50"/>
      <c r="Y120" s="50"/>
      <c r="Z120" s="50"/>
    </row>
    <row r="121" spans="1:26" ht="15.75" customHeight="1" x14ac:dyDescent="0.35">
      <c r="A121" s="50"/>
      <c r="B121" s="53" t="s">
        <v>170</v>
      </c>
      <c r="C121" s="47" t="s">
        <v>109</v>
      </c>
      <c r="D121" s="145">
        <f t="shared" ref="D121:P121" si="67">IFERROR(D79/D66,"")</f>
        <v>0.01</v>
      </c>
      <c r="E121" s="145">
        <f t="shared" si="67"/>
        <v>1.0396039603960397E-2</v>
      </c>
      <c r="F121" s="145">
        <f t="shared" si="67"/>
        <v>1.0807763944711304E-2</v>
      </c>
      <c r="G121" s="145">
        <f t="shared" si="67"/>
        <v>1.1235794199947396E-2</v>
      </c>
      <c r="H121" s="145">
        <f t="shared" si="67"/>
        <v>1.1680776148460163E-2</v>
      </c>
      <c r="I121" s="145">
        <f t="shared" si="67"/>
        <v>1.2143381144438786E-2</v>
      </c>
      <c r="J121" s="145">
        <f t="shared" si="67"/>
        <v>1.2624307130357155E-2</v>
      </c>
      <c r="K121" s="145">
        <f t="shared" si="67"/>
        <v>1.3124279689975262E-2</v>
      </c>
      <c r="L121" s="145">
        <f t="shared" si="67"/>
        <v>1.3644053143043589E-2</v>
      </c>
      <c r="M121" s="145">
        <f t="shared" si="67"/>
        <v>1.4184411683362147E-2</v>
      </c>
      <c r="N121" s="145">
        <f t="shared" si="67"/>
        <v>1.4746170561911142E-2</v>
      </c>
      <c r="O121" s="145">
        <f t="shared" si="67"/>
        <v>1.5330177316838318E-2</v>
      </c>
      <c r="P121" s="146">
        <f t="shared" si="67"/>
        <v>1.5937313052158647E-2</v>
      </c>
      <c r="Q121" s="50"/>
      <c r="R121" s="50"/>
      <c r="S121" s="50"/>
      <c r="T121" s="50"/>
      <c r="U121" s="50"/>
      <c r="V121" s="50"/>
      <c r="W121" s="50"/>
      <c r="X121" s="50"/>
      <c r="Y121" s="50"/>
      <c r="Z121" s="50"/>
    </row>
    <row r="122" spans="1:26" ht="15.75" customHeight="1" x14ac:dyDescent="0.35">
      <c r="A122" s="50"/>
      <c r="B122" s="53" t="s">
        <v>171</v>
      </c>
      <c r="C122" s="47" t="s">
        <v>109</v>
      </c>
      <c r="D122" s="145">
        <f t="shared" ref="D122:P122" si="68">IFERROR(D80/D67,"")</f>
        <v>0</v>
      </c>
      <c r="E122" s="145">
        <f t="shared" si="68"/>
        <v>0</v>
      </c>
      <c r="F122" s="145">
        <f t="shared" si="68"/>
        <v>0.01</v>
      </c>
      <c r="G122" s="145">
        <f t="shared" si="68"/>
        <v>1.0396039603960397E-2</v>
      </c>
      <c r="H122" s="145">
        <f t="shared" si="68"/>
        <v>1.0807763944711302E-2</v>
      </c>
      <c r="I122" s="145">
        <f t="shared" si="68"/>
        <v>1.1235794199947396E-2</v>
      </c>
      <c r="J122" s="145">
        <f t="shared" si="68"/>
        <v>1.1680776148460165E-2</v>
      </c>
      <c r="K122" s="145">
        <f t="shared" si="68"/>
        <v>1.2143381144438786E-2</v>
      </c>
      <c r="L122" s="145">
        <f t="shared" si="68"/>
        <v>1.2624307130357153E-2</v>
      </c>
      <c r="M122" s="145">
        <f t="shared" si="68"/>
        <v>1.3124279689975258E-2</v>
      </c>
      <c r="N122" s="145">
        <f t="shared" si="68"/>
        <v>1.3644053143043585E-2</v>
      </c>
      <c r="O122" s="145">
        <f t="shared" si="68"/>
        <v>1.4184411683362144E-2</v>
      </c>
      <c r="P122" s="146">
        <f t="shared" si="68"/>
        <v>1.4746170561911139E-2</v>
      </c>
      <c r="Q122" s="50"/>
      <c r="R122" s="50"/>
      <c r="S122" s="50"/>
      <c r="T122" s="50"/>
      <c r="U122" s="50"/>
      <c r="V122" s="50"/>
      <c r="W122" s="50"/>
      <c r="X122" s="50"/>
      <c r="Y122" s="50"/>
      <c r="Z122" s="50"/>
    </row>
    <row r="123" spans="1:26" ht="15.75" customHeight="1" x14ac:dyDescent="0.35">
      <c r="A123" s="50"/>
      <c r="B123" s="53" t="s">
        <v>172</v>
      </c>
      <c r="C123" s="47" t="s">
        <v>109</v>
      </c>
      <c r="D123" s="145">
        <f t="shared" ref="D123:P123" si="69">IFERROR(D81/D68,"")</f>
        <v>0</v>
      </c>
      <c r="E123" s="145">
        <f t="shared" si="69"/>
        <v>0</v>
      </c>
      <c r="F123" s="145">
        <f t="shared" si="69"/>
        <v>0.01</v>
      </c>
      <c r="G123" s="145">
        <f t="shared" si="69"/>
        <v>1.0396039603960397E-2</v>
      </c>
      <c r="H123" s="145">
        <f t="shared" si="69"/>
        <v>1.0807763944711302E-2</v>
      </c>
      <c r="I123" s="145">
        <f t="shared" si="69"/>
        <v>1.1235794199947396E-2</v>
      </c>
      <c r="J123" s="145">
        <f t="shared" si="69"/>
        <v>1.1680776148460165E-2</v>
      </c>
      <c r="K123" s="145">
        <f t="shared" si="69"/>
        <v>1.2143381144438786E-2</v>
      </c>
      <c r="L123" s="145">
        <f t="shared" si="69"/>
        <v>1.2624307130357153E-2</v>
      </c>
      <c r="M123" s="145">
        <f t="shared" si="69"/>
        <v>1.3124279689975258E-2</v>
      </c>
      <c r="N123" s="145">
        <f t="shared" si="69"/>
        <v>1.3644053143043585E-2</v>
      </c>
      <c r="O123" s="145">
        <f t="shared" si="69"/>
        <v>1.4184411683362144E-2</v>
      </c>
      <c r="P123" s="146">
        <f t="shared" si="69"/>
        <v>1.4746170561911139E-2</v>
      </c>
      <c r="Q123" s="50"/>
      <c r="R123" s="50"/>
      <c r="S123" s="50"/>
      <c r="T123" s="50"/>
      <c r="U123" s="50"/>
      <c r="V123" s="50"/>
      <c r="W123" s="50"/>
      <c r="X123" s="50"/>
      <c r="Y123" s="50"/>
      <c r="Z123" s="50"/>
    </row>
    <row r="124" spans="1:26" ht="15.75" customHeight="1" x14ac:dyDescent="0.35">
      <c r="A124" s="50"/>
      <c r="B124" s="53" t="s">
        <v>173</v>
      </c>
      <c r="C124" s="47" t="s">
        <v>109</v>
      </c>
      <c r="D124" s="145">
        <f t="shared" ref="D124:P124" si="70">IFERROR(D82/D69,"")</f>
        <v>0</v>
      </c>
      <c r="E124" s="145">
        <f t="shared" si="70"/>
        <v>0</v>
      </c>
      <c r="F124" s="145">
        <f t="shared" si="70"/>
        <v>0.01</v>
      </c>
      <c r="G124" s="145">
        <f t="shared" si="70"/>
        <v>1.0396039603960397E-2</v>
      </c>
      <c r="H124" s="145">
        <f t="shared" si="70"/>
        <v>1.0807763944711302E-2</v>
      </c>
      <c r="I124" s="145">
        <f t="shared" si="70"/>
        <v>1.1235794199947396E-2</v>
      </c>
      <c r="J124" s="145">
        <f t="shared" si="70"/>
        <v>1.1680776148460165E-2</v>
      </c>
      <c r="K124" s="145">
        <f t="shared" si="70"/>
        <v>1.2143381144438786E-2</v>
      </c>
      <c r="L124" s="145">
        <f t="shared" si="70"/>
        <v>1.2624307130357153E-2</v>
      </c>
      <c r="M124" s="145">
        <f t="shared" si="70"/>
        <v>1.3124279689975258E-2</v>
      </c>
      <c r="N124" s="145">
        <f t="shared" si="70"/>
        <v>1.3644053143043585E-2</v>
      </c>
      <c r="O124" s="145">
        <f t="shared" si="70"/>
        <v>1.4184411683362144E-2</v>
      </c>
      <c r="P124" s="146">
        <f t="shared" si="70"/>
        <v>1.4746170561911139E-2</v>
      </c>
      <c r="Q124" s="50"/>
      <c r="R124" s="50"/>
      <c r="S124" s="50"/>
      <c r="T124" s="50"/>
      <c r="U124" s="50"/>
      <c r="V124" s="50"/>
      <c r="W124" s="50"/>
      <c r="X124" s="50"/>
      <c r="Y124" s="50"/>
      <c r="Z124" s="50"/>
    </row>
    <row r="125" spans="1:26" ht="15.75" customHeight="1" x14ac:dyDescent="0.35">
      <c r="A125" s="50"/>
      <c r="B125" s="53" t="s">
        <v>174</v>
      </c>
      <c r="C125" s="47" t="s">
        <v>109</v>
      </c>
      <c r="D125" s="145">
        <f t="shared" ref="D125:P125" si="71">IFERROR(D83/D70,"")</f>
        <v>0</v>
      </c>
      <c r="E125" s="145">
        <f t="shared" si="71"/>
        <v>0</v>
      </c>
      <c r="F125" s="145">
        <f t="shared" si="71"/>
        <v>0.01</v>
      </c>
      <c r="G125" s="145">
        <f t="shared" si="71"/>
        <v>1.0396039603960397E-2</v>
      </c>
      <c r="H125" s="145">
        <f t="shared" si="71"/>
        <v>1.0807763944711302E-2</v>
      </c>
      <c r="I125" s="145">
        <f t="shared" si="71"/>
        <v>1.1235794199947396E-2</v>
      </c>
      <c r="J125" s="145">
        <f t="shared" si="71"/>
        <v>1.1680776148460165E-2</v>
      </c>
      <c r="K125" s="145">
        <f t="shared" si="71"/>
        <v>1.2143381144438786E-2</v>
      </c>
      <c r="L125" s="145">
        <f t="shared" si="71"/>
        <v>1.2624307130357153E-2</v>
      </c>
      <c r="M125" s="145">
        <f t="shared" si="71"/>
        <v>1.3124279689975258E-2</v>
      </c>
      <c r="N125" s="145">
        <f t="shared" si="71"/>
        <v>1.3644053143043585E-2</v>
      </c>
      <c r="O125" s="145">
        <f t="shared" si="71"/>
        <v>1.4184411683362144E-2</v>
      </c>
      <c r="P125" s="146">
        <f t="shared" si="71"/>
        <v>1.4746170561911139E-2</v>
      </c>
      <c r="Q125" s="50"/>
      <c r="R125" s="50"/>
      <c r="S125" s="50"/>
      <c r="T125" s="50"/>
      <c r="U125" s="50"/>
      <c r="V125" s="50"/>
      <c r="W125" s="50"/>
      <c r="X125" s="50"/>
      <c r="Y125" s="50"/>
      <c r="Z125" s="50"/>
    </row>
    <row r="126" spans="1:26" ht="15.75" customHeight="1" x14ac:dyDescent="0.35">
      <c r="A126" s="50"/>
      <c r="B126" s="53" t="s">
        <v>175</v>
      </c>
      <c r="C126" s="47" t="s">
        <v>109</v>
      </c>
      <c r="D126" s="145">
        <f t="shared" ref="D126:P126" si="72">IFERROR(D84/D71,"")</f>
        <v>0</v>
      </c>
      <c r="E126" s="145">
        <f t="shared" si="72"/>
        <v>0</v>
      </c>
      <c r="F126" s="145">
        <f t="shared" si="72"/>
        <v>0.01</v>
      </c>
      <c r="G126" s="145">
        <f t="shared" si="72"/>
        <v>1.0396039603960397E-2</v>
      </c>
      <c r="H126" s="145">
        <f t="shared" si="72"/>
        <v>1.0807763944711302E-2</v>
      </c>
      <c r="I126" s="145">
        <f t="shared" si="72"/>
        <v>1.1235794199947396E-2</v>
      </c>
      <c r="J126" s="145">
        <f t="shared" si="72"/>
        <v>1.1680776148460165E-2</v>
      </c>
      <c r="K126" s="145">
        <f t="shared" si="72"/>
        <v>1.2143381144438786E-2</v>
      </c>
      <c r="L126" s="145">
        <f t="shared" si="72"/>
        <v>1.2624307130357153E-2</v>
      </c>
      <c r="M126" s="145">
        <f t="shared" si="72"/>
        <v>1.3124279689975258E-2</v>
      </c>
      <c r="N126" s="145">
        <f t="shared" si="72"/>
        <v>1.3644053143043585E-2</v>
      </c>
      <c r="O126" s="145">
        <f t="shared" si="72"/>
        <v>1.4184411683362144E-2</v>
      </c>
      <c r="P126" s="146">
        <f t="shared" si="72"/>
        <v>1.4746170561911139E-2</v>
      </c>
      <c r="Q126" s="50"/>
      <c r="R126" s="50"/>
      <c r="S126" s="50"/>
      <c r="T126" s="50"/>
      <c r="U126" s="50"/>
      <c r="V126" s="50"/>
      <c r="W126" s="50"/>
      <c r="X126" s="50"/>
      <c r="Y126" s="50"/>
      <c r="Z126" s="50"/>
    </row>
    <row r="127" spans="1:26" ht="15.75" customHeight="1" x14ac:dyDescent="0.35">
      <c r="A127" s="50"/>
      <c r="B127" s="53" t="s">
        <v>176</v>
      </c>
      <c r="C127" s="47" t="s">
        <v>109</v>
      </c>
      <c r="D127" s="145">
        <f t="shared" ref="D127:P127" si="73">IFERROR(D85/D72,"")</f>
        <v>0</v>
      </c>
      <c r="E127" s="145">
        <f t="shared" si="73"/>
        <v>0</v>
      </c>
      <c r="F127" s="145">
        <f t="shared" si="73"/>
        <v>0.01</v>
      </c>
      <c r="G127" s="145">
        <f t="shared" si="73"/>
        <v>1.0396039603960397E-2</v>
      </c>
      <c r="H127" s="145">
        <f t="shared" si="73"/>
        <v>1.0807763944711302E-2</v>
      </c>
      <c r="I127" s="145">
        <f t="shared" si="73"/>
        <v>1.1235794199947396E-2</v>
      </c>
      <c r="J127" s="145">
        <f t="shared" si="73"/>
        <v>1.1680776148460165E-2</v>
      </c>
      <c r="K127" s="145">
        <f t="shared" si="73"/>
        <v>1.2143381144438786E-2</v>
      </c>
      <c r="L127" s="145">
        <f t="shared" si="73"/>
        <v>1.2624307130357153E-2</v>
      </c>
      <c r="M127" s="145">
        <f t="shared" si="73"/>
        <v>1.3124279689975258E-2</v>
      </c>
      <c r="N127" s="145">
        <f t="shared" si="73"/>
        <v>1.3644053143043585E-2</v>
      </c>
      <c r="O127" s="145">
        <f t="shared" si="73"/>
        <v>1.4184411683362144E-2</v>
      </c>
      <c r="P127" s="146">
        <f t="shared" si="73"/>
        <v>1.4746170561911139E-2</v>
      </c>
      <c r="Q127" s="50"/>
      <c r="R127" s="50"/>
      <c r="S127" s="50"/>
      <c r="T127" s="50"/>
      <c r="U127" s="50"/>
      <c r="V127" s="50"/>
      <c r="W127" s="50"/>
      <c r="X127" s="50"/>
      <c r="Y127" s="50"/>
      <c r="Z127" s="50"/>
    </row>
    <row r="128" spans="1:26" ht="15.75" customHeight="1" x14ac:dyDescent="0.35">
      <c r="A128" s="50"/>
      <c r="B128" s="147" t="s">
        <v>140</v>
      </c>
      <c r="C128" s="148" t="s">
        <v>109</v>
      </c>
      <c r="D128" s="149">
        <f t="shared" ref="D128:P128" si="74">D86/D73</f>
        <v>3.6363636363636364E-3</v>
      </c>
      <c r="E128" s="149">
        <f t="shared" si="74"/>
        <v>4.6894689468946898E-3</v>
      </c>
      <c r="F128" s="149">
        <f t="shared" si="74"/>
        <v>1.0329735943891414E-2</v>
      </c>
      <c r="G128" s="149">
        <f t="shared" si="74"/>
        <v>1.0738834397114845E-2</v>
      </c>
      <c r="H128" s="149">
        <f t="shared" si="74"/>
        <v>1.1164134769277806E-2</v>
      </c>
      <c r="I128" s="149">
        <f t="shared" si="74"/>
        <v>1.1606278720536333E-2</v>
      </c>
      <c r="J128" s="149">
        <f t="shared" si="74"/>
        <v>1.2065933323329855E-2</v>
      </c>
      <c r="K128" s="149">
        <f t="shared" si="74"/>
        <v>1.2543792068808259E-2</v>
      </c>
      <c r="L128" s="149">
        <f t="shared" si="74"/>
        <v>1.30405759131175E-2</v>
      </c>
      <c r="M128" s="149">
        <f t="shared" si="74"/>
        <v>1.3557034365122156E-2</v>
      </c>
      <c r="N128" s="149">
        <f t="shared" si="74"/>
        <v>1.4093946617206202E-2</v>
      </c>
      <c r="O128" s="149">
        <f t="shared" si="74"/>
        <v>1.4652122720857939E-2</v>
      </c>
      <c r="P128" s="150">
        <f t="shared" si="74"/>
        <v>1.5232404808812706E-2</v>
      </c>
      <c r="Q128" s="50"/>
      <c r="R128" s="50"/>
      <c r="S128" s="50"/>
      <c r="T128" s="50"/>
      <c r="U128" s="50"/>
      <c r="V128" s="50"/>
      <c r="W128" s="50"/>
      <c r="X128" s="50"/>
      <c r="Y128" s="50"/>
      <c r="Z128" s="50"/>
    </row>
    <row r="129" spans="1:26" ht="15.75" customHeight="1" x14ac:dyDescent="0.3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x14ac:dyDescent="0.3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x14ac:dyDescent="0.3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x14ac:dyDescent="0.3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E36:K36"/>
    <mergeCell ref="D59:F59"/>
    <mergeCell ref="D114:F114"/>
    <mergeCell ref="B4:D4"/>
    <mergeCell ref="B5:D5"/>
    <mergeCell ref="B6:J6"/>
    <mergeCell ref="B7:D7"/>
    <mergeCell ref="B8:J8"/>
    <mergeCell ref="E11:L11"/>
    <mergeCell ref="G24:L24"/>
  </mergeCells>
  <dataValidations count="1">
    <dataValidation type="list" allowBlank="1" showErrorMessage="1" sqref="D50" xr:uid="{00000000-0002-0000-0A00-000000000000}">
      <formula1>"High,Medium,Low"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outlinePr summaryBelow="0" summaryRight="0"/>
  </sheetPr>
  <dimension ref="A1:Z1016"/>
  <sheetViews>
    <sheetView workbookViewId="0"/>
  </sheetViews>
  <sheetFormatPr defaultColWidth="14.3984375" defaultRowHeight="15" customHeight="1" x14ac:dyDescent="0.3"/>
  <cols>
    <col min="1" max="1" width="12.69921875" customWidth="1"/>
    <col min="2" max="2" width="74.8984375" customWidth="1"/>
    <col min="3" max="3" width="11.3984375" customWidth="1"/>
    <col min="4" max="4" width="16.59765625" customWidth="1"/>
    <col min="5" max="5" width="15" customWidth="1"/>
    <col min="6" max="7" width="17.09765625" customWidth="1"/>
    <col min="8" max="10" width="14.0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254</v>
      </c>
      <c r="C2" s="47"/>
      <c r="D2" s="33" t="s">
        <v>183</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47"/>
      <c r="D3" s="79"/>
      <c r="E3" s="79"/>
      <c r="F3" s="32"/>
      <c r="G3" s="32"/>
      <c r="H3" s="32"/>
      <c r="I3" s="32"/>
      <c r="J3" s="32"/>
      <c r="K3" s="80"/>
      <c r="L3" s="50"/>
      <c r="M3" s="50"/>
      <c r="N3" s="50"/>
      <c r="O3" s="50"/>
      <c r="P3" s="50"/>
      <c r="Q3" s="50"/>
      <c r="R3" s="50"/>
      <c r="S3" s="50"/>
      <c r="T3" s="50"/>
      <c r="U3" s="50"/>
      <c r="V3" s="50"/>
      <c r="W3" s="50"/>
      <c r="X3" s="50"/>
      <c r="Y3" s="50"/>
      <c r="Z3" s="50"/>
    </row>
    <row r="4" spans="1:26" ht="15.5" x14ac:dyDescent="0.35">
      <c r="A4" s="50"/>
      <c r="B4" s="554" t="s">
        <v>255</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70" t="s">
        <v>256</v>
      </c>
      <c r="C6" s="536"/>
      <c r="D6" s="571"/>
      <c r="E6" s="32"/>
      <c r="F6" s="32"/>
      <c r="G6" s="32"/>
      <c r="H6" s="32"/>
      <c r="I6" s="32"/>
      <c r="J6" s="32"/>
      <c r="K6" s="32"/>
      <c r="L6" s="50"/>
      <c r="M6" s="50"/>
      <c r="N6" s="50"/>
      <c r="O6" s="50"/>
      <c r="P6" s="50"/>
      <c r="Q6" s="50"/>
      <c r="R6" s="50"/>
      <c r="S6" s="50"/>
      <c r="T6" s="50"/>
      <c r="U6" s="50"/>
      <c r="V6" s="50"/>
      <c r="W6" s="50"/>
      <c r="X6" s="50"/>
      <c r="Y6" s="50"/>
      <c r="Z6" s="50"/>
    </row>
    <row r="7" spans="1:26" ht="27" customHeight="1" x14ac:dyDescent="0.35">
      <c r="A7" s="50"/>
      <c r="B7" s="569" t="s">
        <v>257</v>
      </c>
      <c r="C7" s="546"/>
      <c r="D7" s="558"/>
      <c r="E7" s="32"/>
      <c r="F7" s="32"/>
      <c r="G7" s="32"/>
      <c r="H7" s="32"/>
      <c r="I7" s="32"/>
      <c r="J7" s="32"/>
      <c r="K7" s="32"/>
      <c r="L7" s="50"/>
      <c r="M7" s="50"/>
      <c r="N7" s="50"/>
      <c r="O7" s="50"/>
      <c r="P7" s="50"/>
      <c r="Q7" s="50"/>
      <c r="R7" s="50"/>
      <c r="S7" s="50"/>
      <c r="T7" s="50"/>
      <c r="U7" s="50"/>
      <c r="V7" s="50"/>
      <c r="W7" s="50"/>
      <c r="X7" s="50"/>
      <c r="Y7" s="50"/>
      <c r="Z7" s="50"/>
    </row>
    <row r="8" spans="1:26" ht="61.5" customHeight="1" x14ac:dyDescent="0.35">
      <c r="A8" s="50"/>
      <c r="B8" s="578" t="s">
        <v>258</v>
      </c>
      <c r="C8" s="579"/>
      <c r="D8" s="580"/>
      <c r="E8" s="32"/>
      <c r="F8" s="32"/>
      <c r="G8" s="32"/>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5"/>
      <c r="J10" s="85"/>
      <c r="K10" s="85"/>
      <c r="L10" s="86"/>
      <c r="M10" s="50"/>
      <c r="N10" s="50"/>
      <c r="O10" s="50"/>
      <c r="P10" s="50"/>
      <c r="Q10" s="50"/>
      <c r="R10" s="50"/>
      <c r="S10" s="50"/>
      <c r="T10" s="50"/>
      <c r="U10" s="50"/>
      <c r="V10" s="50"/>
      <c r="W10" s="50"/>
      <c r="X10" s="50"/>
      <c r="Y10" s="50"/>
      <c r="Z10" s="50"/>
    </row>
    <row r="11" spans="1:26" ht="36" customHeight="1" x14ac:dyDescent="0.35">
      <c r="A11" s="50"/>
      <c r="B11" s="87" t="s">
        <v>259</v>
      </c>
      <c r="C11" s="222"/>
      <c r="D11" s="43" t="s">
        <v>89</v>
      </c>
      <c r="E11" s="43" t="s">
        <v>90</v>
      </c>
      <c r="F11" s="43" t="s">
        <v>91</v>
      </c>
      <c r="G11" s="563" t="s">
        <v>260</v>
      </c>
      <c r="H11" s="546"/>
      <c r="I11" s="546"/>
      <c r="J11" s="546"/>
      <c r="K11" s="546"/>
      <c r="L11" s="558"/>
      <c r="M11" s="50"/>
      <c r="N11" s="50"/>
      <c r="O11" s="50"/>
      <c r="P11" s="50"/>
      <c r="Q11" s="50"/>
      <c r="R11" s="50"/>
      <c r="S11" s="50"/>
      <c r="T11" s="50"/>
      <c r="U11" s="50"/>
      <c r="V11" s="50"/>
      <c r="W11" s="50"/>
      <c r="X11" s="50"/>
      <c r="Y11" s="50"/>
      <c r="Z11" s="50"/>
    </row>
    <row r="12" spans="1:26" ht="15" customHeight="1" x14ac:dyDescent="0.35">
      <c r="A12" s="50"/>
      <c r="B12" s="89" t="s">
        <v>93</v>
      </c>
      <c r="C12" s="223" t="s">
        <v>94</v>
      </c>
      <c r="D12" s="224">
        <v>100</v>
      </c>
      <c r="E12" s="224">
        <v>100</v>
      </c>
      <c r="F12" s="224">
        <v>100</v>
      </c>
      <c r="G12" s="91"/>
      <c r="H12" s="91"/>
      <c r="I12" s="91"/>
      <c r="J12" s="91"/>
      <c r="K12" s="91"/>
      <c r="L12" s="92"/>
      <c r="M12" s="50"/>
      <c r="N12" s="50"/>
      <c r="O12" s="50"/>
      <c r="P12" s="50"/>
      <c r="Q12" s="50"/>
      <c r="R12" s="50"/>
      <c r="S12" s="50"/>
      <c r="T12" s="50"/>
      <c r="U12" s="50"/>
      <c r="V12" s="50"/>
      <c r="W12" s="50"/>
      <c r="X12" s="50"/>
      <c r="Y12" s="50"/>
      <c r="Z12" s="50"/>
    </row>
    <row r="13" spans="1:26" ht="15" customHeight="1" x14ac:dyDescent="0.35">
      <c r="A13" s="50"/>
      <c r="B13" s="89" t="s">
        <v>95</v>
      </c>
      <c r="C13" s="223" t="s">
        <v>94</v>
      </c>
      <c r="D13" s="224">
        <v>100</v>
      </c>
      <c r="E13" s="224">
        <v>100</v>
      </c>
      <c r="F13" s="224">
        <v>100</v>
      </c>
      <c r="G13" s="91"/>
      <c r="H13" s="91"/>
      <c r="I13" s="91"/>
      <c r="J13" s="91"/>
      <c r="K13" s="91"/>
      <c r="L13" s="92"/>
      <c r="M13" s="50"/>
      <c r="N13" s="50"/>
      <c r="O13" s="50"/>
      <c r="P13" s="50"/>
      <c r="Q13" s="50"/>
      <c r="R13" s="50"/>
      <c r="S13" s="50"/>
      <c r="T13" s="50"/>
      <c r="U13" s="50"/>
      <c r="V13" s="50"/>
      <c r="W13" s="50"/>
      <c r="X13" s="50"/>
      <c r="Y13" s="50"/>
      <c r="Z13" s="50"/>
    </row>
    <row r="14" spans="1:26" ht="15" customHeight="1" x14ac:dyDescent="0.35">
      <c r="A14" s="50"/>
      <c r="B14" s="89" t="s">
        <v>96</v>
      </c>
      <c r="C14" s="223" t="s">
        <v>94</v>
      </c>
      <c r="D14" s="224">
        <v>100</v>
      </c>
      <c r="E14" s="224">
        <v>100</v>
      </c>
      <c r="F14" s="224">
        <v>100</v>
      </c>
      <c r="G14" s="91"/>
      <c r="H14" s="91"/>
      <c r="I14" s="91"/>
      <c r="J14" s="91"/>
      <c r="K14" s="91"/>
      <c r="L14" s="92"/>
      <c r="M14" s="50"/>
      <c r="N14" s="50"/>
      <c r="O14" s="50"/>
      <c r="P14" s="50"/>
      <c r="Q14" s="50"/>
      <c r="R14" s="50"/>
      <c r="S14" s="50"/>
      <c r="T14" s="50"/>
      <c r="U14" s="50"/>
      <c r="V14" s="50"/>
      <c r="W14" s="50"/>
      <c r="X14" s="50"/>
      <c r="Y14" s="50"/>
      <c r="Z14" s="50"/>
    </row>
    <row r="15" spans="1:26" ht="15" customHeight="1" x14ac:dyDescent="0.35">
      <c r="A15" s="50"/>
      <c r="B15" s="89" t="s">
        <v>97</v>
      </c>
      <c r="C15" s="223" t="s">
        <v>94</v>
      </c>
      <c r="D15" s="224">
        <v>100</v>
      </c>
      <c r="E15" s="224">
        <v>100</v>
      </c>
      <c r="F15" s="224">
        <v>100</v>
      </c>
      <c r="G15" s="91"/>
      <c r="H15" s="91"/>
      <c r="I15" s="91"/>
      <c r="J15" s="91"/>
      <c r="K15" s="91"/>
      <c r="L15" s="92"/>
      <c r="M15" s="50"/>
      <c r="N15" s="50"/>
      <c r="O15" s="50"/>
      <c r="P15" s="50"/>
      <c r="Q15" s="50"/>
      <c r="R15" s="50"/>
      <c r="S15" s="50"/>
      <c r="T15" s="50"/>
      <c r="U15" s="50"/>
      <c r="V15" s="50"/>
      <c r="W15" s="50"/>
      <c r="X15" s="50"/>
      <c r="Y15" s="50"/>
      <c r="Z15" s="50"/>
    </row>
    <row r="16" spans="1:26" ht="15" customHeight="1" x14ac:dyDescent="0.35">
      <c r="A16" s="50"/>
      <c r="B16" s="89" t="s">
        <v>98</v>
      </c>
      <c r="C16" s="223" t="s">
        <v>94</v>
      </c>
      <c r="D16" s="224">
        <v>100</v>
      </c>
      <c r="E16" s="224">
        <v>100</v>
      </c>
      <c r="F16" s="224">
        <v>100</v>
      </c>
      <c r="G16" s="91"/>
      <c r="H16" s="91"/>
      <c r="I16" s="91"/>
      <c r="J16" s="91"/>
      <c r="K16" s="91"/>
      <c r="L16" s="92"/>
      <c r="M16" s="50"/>
      <c r="N16" s="50"/>
      <c r="O16" s="50"/>
      <c r="P16" s="50"/>
      <c r="Q16" s="50"/>
      <c r="R16" s="50"/>
      <c r="S16" s="50"/>
      <c r="T16" s="50"/>
      <c r="U16" s="50"/>
      <c r="V16" s="50"/>
      <c r="W16" s="50"/>
      <c r="X16" s="50"/>
      <c r="Y16" s="50"/>
      <c r="Z16" s="50"/>
    </row>
    <row r="17" spans="1:26" ht="15" customHeight="1" x14ac:dyDescent="0.35">
      <c r="A17" s="50"/>
      <c r="B17" s="89" t="s">
        <v>99</v>
      </c>
      <c r="C17" s="223" t="s">
        <v>94</v>
      </c>
      <c r="D17" s="224">
        <v>100</v>
      </c>
      <c r="E17" s="224">
        <v>100</v>
      </c>
      <c r="F17" s="224">
        <v>100</v>
      </c>
      <c r="G17" s="91"/>
      <c r="H17" s="91"/>
      <c r="I17" s="91"/>
      <c r="J17" s="91"/>
      <c r="K17" s="91"/>
      <c r="L17" s="92"/>
      <c r="M17" s="50"/>
      <c r="N17" s="50"/>
      <c r="O17" s="50"/>
      <c r="P17" s="50"/>
      <c r="Q17" s="50"/>
      <c r="R17" s="50"/>
      <c r="S17" s="50"/>
      <c r="T17" s="50"/>
      <c r="U17" s="50"/>
      <c r="V17" s="50"/>
      <c r="W17" s="50"/>
      <c r="X17" s="50"/>
      <c r="Y17" s="50"/>
      <c r="Z17" s="50"/>
    </row>
    <row r="18" spans="1:26" ht="15" customHeight="1" x14ac:dyDescent="0.35">
      <c r="A18" s="50"/>
      <c r="B18" s="89" t="s">
        <v>100</v>
      </c>
      <c r="C18" s="223" t="s">
        <v>94</v>
      </c>
      <c r="D18" s="224">
        <v>100</v>
      </c>
      <c r="E18" s="224">
        <v>100</v>
      </c>
      <c r="F18" s="224">
        <v>100</v>
      </c>
      <c r="G18" s="91"/>
      <c r="H18" s="91"/>
      <c r="I18" s="91"/>
      <c r="J18" s="91"/>
      <c r="K18" s="91"/>
      <c r="L18" s="92"/>
      <c r="M18" s="50"/>
      <c r="N18" s="50"/>
      <c r="O18" s="50"/>
      <c r="P18" s="50"/>
      <c r="Q18" s="50"/>
      <c r="R18" s="50"/>
      <c r="S18" s="50"/>
      <c r="T18" s="50"/>
      <c r="U18" s="50"/>
      <c r="V18" s="50"/>
      <c r="W18" s="50"/>
      <c r="X18" s="50"/>
      <c r="Y18" s="50"/>
      <c r="Z18" s="50"/>
    </row>
    <row r="19" spans="1:26" ht="15" customHeight="1" x14ac:dyDescent="0.35">
      <c r="A19" s="50"/>
      <c r="B19" s="89" t="s">
        <v>101</v>
      </c>
      <c r="C19" s="223" t="s">
        <v>94</v>
      </c>
      <c r="D19" s="224">
        <v>100</v>
      </c>
      <c r="E19" s="224">
        <v>100</v>
      </c>
      <c r="F19" s="224">
        <v>100</v>
      </c>
      <c r="G19" s="91"/>
      <c r="H19" s="91"/>
      <c r="I19" s="91"/>
      <c r="J19" s="91"/>
      <c r="K19" s="91"/>
      <c r="L19" s="92"/>
      <c r="M19" s="50"/>
      <c r="N19" s="50"/>
      <c r="O19" s="50"/>
      <c r="P19" s="50"/>
      <c r="Q19" s="50"/>
      <c r="R19" s="50"/>
      <c r="S19" s="50"/>
      <c r="T19" s="50"/>
      <c r="U19" s="50"/>
      <c r="V19" s="50"/>
      <c r="W19" s="50"/>
      <c r="X19" s="50"/>
      <c r="Y19" s="50"/>
      <c r="Z19" s="50"/>
    </row>
    <row r="20" spans="1:26" ht="15" customHeight="1" x14ac:dyDescent="0.35">
      <c r="A20" s="50"/>
      <c r="B20" s="89" t="s">
        <v>102</v>
      </c>
      <c r="C20" s="223" t="s">
        <v>94</v>
      </c>
      <c r="D20" s="224">
        <v>100</v>
      </c>
      <c r="E20" s="224">
        <v>100</v>
      </c>
      <c r="F20" s="224">
        <v>100</v>
      </c>
      <c r="G20" s="91"/>
      <c r="H20" s="91"/>
      <c r="I20" s="91"/>
      <c r="J20" s="91"/>
      <c r="K20" s="91"/>
      <c r="L20" s="92"/>
      <c r="M20" s="50"/>
      <c r="N20" s="50"/>
      <c r="O20" s="50"/>
      <c r="P20" s="50"/>
      <c r="Q20" s="50"/>
      <c r="R20" s="50"/>
      <c r="S20" s="50"/>
      <c r="T20" s="50"/>
      <c r="U20" s="50"/>
      <c r="V20" s="50"/>
      <c r="W20" s="50"/>
      <c r="X20" s="50"/>
      <c r="Y20" s="50"/>
      <c r="Z20" s="50"/>
    </row>
    <row r="21" spans="1:26" ht="15" customHeight="1" x14ac:dyDescent="0.35">
      <c r="A21" s="50"/>
      <c r="B21" s="225" t="s">
        <v>65</v>
      </c>
      <c r="C21" s="223" t="s">
        <v>94</v>
      </c>
      <c r="D21" s="226">
        <f t="shared" ref="D21:F21" si="0">SUM(D12:D20)</f>
        <v>900</v>
      </c>
      <c r="E21" s="226">
        <f t="shared" si="0"/>
        <v>900</v>
      </c>
      <c r="F21" s="226">
        <f t="shared" si="0"/>
        <v>900</v>
      </c>
      <c r="G21" s="91"/>
      <c r="H21" s="91"/>
      <c r="I21" s="91"/>
      <c r="J21" s="91"/>
      <c r="K21" s="91"/>
      <c r="L21" s="92"/>
      <c r="M21" s="50"/>
      <c r="N21" s="50"/>
      <c r="O21" s="50"/>
      <c r="P21" s="50"/>
      <c r="Q21" s="50"/>
      <c r="R21" s="50"/>
      <c r="S21" s="50"/>
      <c r="T21" s="50"/>
      <c r="U21" s="50"/>
      <c r="V21" s="50"/>
      <c r="W21" s="50"/>
      <c r="X21" s="50"/>
      <c r="Y21" s="50"/>
      <c r="Z21" s="50"/>
    </row>
    <row r="22" spans="1:26" ht="15.75" customHeight="1" x14ac:dyDescent="0.35">
      <c r="A22" s="50"/>
      <c r="B22" s="96" t="s">
        <v>261</v>
      </c>
      <c r="C22" s="88" t="s">
        <v>262</v>
      </c>
      <c r="D22" s="227">
        <v>1.1319999999999999</v>
      </c>
      <c r="E22" s="228" t="s">
        <v>263</v>
      </c>
      <c r="F22" s="91"/>
      <c r="G22" s="91"/>
      <c r="H22" s="91"/>
      <c r="I22" s="91"/>
      <c r="J22" s="91"/>
      <c r="K22" s="91"/>
      <c r="L22" s="92"/>
      <c r="M22" s="50"/>
      <c r="N22" s="50"/>
      <c r="O22" s="50"/>
      <c r="P22" s="50"/>
      <c r="Q22" s="50"/>
      <c r="R22" s="50"/>
      <c r="S22" s="50"/>
      <c r="T22" s="50"/>
      <c r="U22" s="50"/>
      <c r="V22" s="50"/>
      <c r="W22" s="50"/>
      <c r="X22" s="50"/>
      <c r="Y22" s="50"/>
      <c r="Z22" s="50"/>
    </row>
    <row r="23" spans="1:26" ht="15.75" customHeight="1" x14ac:dyDescent="0.35">
      <c r="A23" s="50"/>
      <c r="B23" s="96" t="s">
        <v>264</v>
      </c>
      <c r="C23" s="229" t="s">
        <v>202</v>
      </c>
      <c r="D23" s="178">
        <v>0.3</v>
      </c>
      <c r="E23" s="228" t="s">
        <v>265</v>
      </c>
      <c r="F23" s="91"/>
      <c r="G23" s="91"/>
      <c r="H23" s="91"/>
      <c r="I23" s="91"/>
      <c r="J23" s="91"/>
      <c r="K23" s="91"/>
      <c r="L23" s="92"/>
      <c r="M23" s="50"/>
      <c r="N23" s="50"/>
      <c r="O23" s="50"/>
      <c r="P23" s="50"/>
      <c r="Q23" s="50"/>
      <c r="R23" s="50"/>
      <c r="S23" s="50"/>
      <c r="T23" s="50"/>
      <c r="U23" s="50"/>
      <c r="V23" s="50"/>
      <c r="W23" s="50"/>
      <c r="X23" s="50"/>
      <c r="Y23" s="50"/>
      <c r="Z23" s="50"/>
    </row>
    <row r="24" spans="1:26" ht="15.75" customHeight="1" x14ac:dyDescent="0.35">
      <c r="A24" s="50"/>
      <c r="B24" s="96" t="s">
        <v>266</v>
      </c>
      <c r="C24" s="229" t="s">
        <v>202</v>
      </c>
      <c r="D24" s="178">
        <v>0.25</v>
      </c>
      <c r="E24" s="228" t="s">
        <v>267</v>
      </c>
      <c r="F24" s="91"/>
      <c r="G24" s="91"/>
      <c r="H24" s="91"/>
      <c r="I24" s="91"/>
      <c r="J24" s="91"/>
      <c r="K24" s="91"/>
      <c r="L24" s="92"/>
      <c r="M24" s="50"/>
      <c r="N24" s="50"/>
      <c r="O24" s="50"/>
      <c r="P24" s="50"/>
      <c r="Q24" s="50"/>
      <c r="R24" s="50"/>
      <c r="S24" s="50"/>
      <c r="T24" s="50"/>
      <c r="U24" s="50"/>
      <c r="V24" s="50"/>
      <c r="W24" s="50"/>
      <c r="X24" s="50"/>
      <c r="Y24" s="50"/>
      <c r="Z24" s="50"/>
    </row>
    <row r="25" spans="1:26" ht="15.75" customHeight="1" x14ac:dyDescent="0.35">
      <c r="A25" s="50"/>
      <c r="B25" s="96" t="s">
        <v>268</v>
      </c>
      <c r="C25" s="88"/>
      <c r="D25" s="98" t="s">
        <v>119</v>
      </c>
      <c r="E25" s="91" t="s">
        <v>269</v>
      </c>
      <c r="F25" s="91"/>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96" t="s">
        <v>270</v>
      </c>
      <c r="C26" s="88"/>
      <c r="D26" s="230">
        <f>VLOOKUP(D25,B27:D29,3,FALSE)</f>
        <v>0.1</v>
      </c>
      <c r="E26" s="91"/>
      <c r="F26" s="91"/>
      <c r="G26" s="91"/>
      <c r="H26" s="91"/>
      <c r="I26" s="91"/>
      <c r="J26" s="91"/>
      <c r="K26" s="91"/>
      <c r="L26" s="92"/>
      <c r="M26" s="50"/>
      <c r="N26" s="50"/>
      <c r="O26" s="50"/>
      <c r="P26" s="50"/>
      <c r="Q26" s="50"/>
      <c r="R26" s="50"/>
      <c r="S26" s="50"/>
      <c r="T26" s="50"/>
      <c r="U26" s="50"/>
      <c r="V26" s="50"/>
      <c r="W26" s="50"/>
      <c r="X26" s="50"/>
      <c r="Y26" s="50"/>
      <c r="Z26" s="50"/>
    </row>
    <row r="27" spans="1:26" ht="15.75" customHeight="1" x14ac:dyDescent="0.35">
      <c r="A27" s="50"/>
      <c r="B27" s="231" t="s">
        <v>114</v>
      </c>
      <c r="C27" s="223"/>
      <c r="D27" s="232">
        <v>0.2</v>
      </c>
      <c r="E27" s="91" t="s">
        <v>271</v>
      </c>
      <c r="F27" s="91"/>
      <c r="G27" s="91"/>
      <c r="H27" s="91"/>
      <c r="I27" s="91"/>
      <c r="J27" s="91"/>
      <c r="K27" s="91"/>
      <c r="L27" s="92"/>
      <c r="M27" s="50"/>
      <c r="N27" s="50"/>
      <c r="O27" s="50"/>
      <c r="P27" s="50"/>
      <c r="Q27" s="50"/>
      <c r="R27" s="50"/>
      <c r="S27" s="50"/>
      <c r="T27" s="50"/>
      <c r="U27" s="50"/>
      <c r="V27" s="50"/>
      <c r="W27" s="50"/>
      <c r="X27" s="50"/>
      <c r="Y27" s="50"/>
      <c r="Z27" s="50"/>
    </row>
    <row r="28" spans="1:26" ht="15.75" customHeight="1" x14ac:dyDescent="0.35">
      <c r="A28" s="50"/>
      <c r="B28" s="231" t="s">
        <v>119</v>
      </c>
      <c r="C28" s="223"/>
      <c r="D28" s="232">
        <v>0.1</v>
      </c>
      <c r="E28" s="91" t="s">
        <v>271</v>
      </c>
      <c r="F28" s="91"/>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231" t="s">
        <v>121</v>
      </c>
      <c r="C29" s="223"/>
      <c r="D29" s="232">
        <v>0.05</v>
      </c>
      <c r="E29" s="91" t="s">
        <v>271</v>
      </c>
      <c r="F29" s="91"/>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233" t="s">
        <v>272</v>
      </c>
      <c r="C30" s="234"/>
      <c r="D30" s="235">
        <f>'1.Red. Purch. Cost Patient Care'!D68</f>
        <v>0.05</v>
      </c>
      <c r="E30" s="109" t="s">
        <v>273</v>
      </c>
      <c r="F30" s="109"/>
      <c r="G30" s="109"/>
      <c r="H30" s="109"/>
      <c r="I30" s="109"/>
      <c r="J30" s="109"/>
      <c r="K30" s="109"/>
      <c r="L30" s="158"/>
      <c r="M30" s="50"/>
      <c r="N30" s="50"/>
      <c r="O30" s="50"/>
      <c r="P30" s="50"/>
      <c r="Q30" s="50"/>
      <c r="R30" s="50"/>
      <c r="S30" s="50"/>
      <c r="T30" s="50"/>
      <c r="U30" s="50"/>
      <c r="V30" s="50"/>
      <c r="W30" s="50"/>
      <c r="X30" s="50"/>
      <c r="Y30" s="50"/>
      <c r="Z30" s="50"/>
    </row>
    <row r="31" spans="1:26" ht="15.75" customHeight="1" x14ac:dyDescent="0.35">
      <c r="A31" s="50"/>
      <c r="B31" s="110"/>
      <c r="C31" s="54"/>
      <c r="D31" s="236"/>
      <c r="E31" s="50"/>
      <c r="F31" s="50"/>
      <c r="G31" s="50"/>
      <c r="H31" s="50"/>
      <c r="I31" s="50"/>
      <c r="J31" s="50"/>
      <c r="K31" s="50"/>
      <c r="L31" s="50"/>
      <c r="M31" s="50"/>
      <c r="N31" s="50"/>
      <c r="O31" s="50"/>
      <c r="P31" s="50"/>
      <c r="Q31" s="50"/>
      <c r="R31" s="50"/>
      <c r="S31" s="50"/>
      <c r="T31" s="50"/>
      <c r="U31" s="50"/>
      <c r="V31" s="50"/>
      <c r="W31" s="50"/>
      <c r="X31" s="50"/>
      <c r="Y31" s="50"/>
      <c r="Z31" s="50"/>
    </row>
    <row r="32" spans="1:26" ht="15.75" customHeight="1" x14ac:dyDescent="0.35">
      <c r="A32" s="50"/>
      <c r="B32" s="50"/>
      <c r="C32" s="63"/>
      <c r="D32" s="50"/>
      <c r="E32" s="50"/>
      <c r="F32" s="50"/>
      <c r="G32" s="50"/>
      <c r="H32" s="50"/>
      <c r="I32" s="50"/>
      <c r="J32" s="50"/>
      <c r="K32" s="50"/>
      <c r="L32" s="50"/>
      <c r="M32" s="50"/>
      <c r="N32" s="50"/>
      <c r="O32" s="50"/>
      <c r="P32" s="50"/>
      <c r="Q32" s="50"/>
      <c r="R32" s="50"/>
      <c r="S32" s="50"/>
      <c r="T32" s="50"/>
      <c r="U32" s="50"/>
      <c r="V32" s="50"/>
      <c r="W32" s="50"/>
      <c r="X32" s="50"/>
      <c r="Y32" s="50"/>
      <c r="Z32" s="50"/>
    </row>
    <row r="33" spans="1:26" ht="15.75" customHeight="1" x14ac:dyDescent="0.35">
      <c r="A33" s="50"/>
      <c r="B33" s="35" t="s">
        <v>55</v>
      </c>
      <c r="C33" s="36"/>
      <c r="D33" s="565" t="s">
        <v>129</v>
      </c>
      <c r="E33" s="552"/>
      <c r="F33" s="553"/>
      <c r="G33" s="112" t="s">
        <v>130</v>
      </c>
      <c r="H33" s="38"/>
      <c r="I33" s="38"/>
      <c r="J33" s="38"/>
      <c r="K33" s="38"/>
      <c r="L33" s="38"/>
      <c r="M33" s="38"/>
      <c r="N33" s="38"/>
      <c r="O33" s="38"/>
      <c r="P33" s="39"/>
      <c r="Q33" s="50"/>
      <c r="R33" s="50"/>
      <c r="S33" s="50"/>
      <c r="T33" s="50"/>
      <c r="U33" s="50"/>
      <c r="V33" s="50"/>
      <c r="W33" s="50"/>
      <c r="X33" s="50"/>
      <c r="Y33" s="50"/>
      <c r="Z33" s="50"/>
    </row>
    <row r="34" spans="1:26" ht="15.75" customHeight="1" x14ac:dyDescent="0.35">
      <c r="A34" s="50"/>
      <c r="B34" s="40"/>
      <c r="C34" s="41"/>
      <c r="D34" s="159">
        <v>1</v>
      </c>
      <c r="E34" s="159">
        <f>+D34+1</f>
        <v>2</v>
      </c>
      <c r="F34" s="159">
        <f t="shared" ref="F34:P34" si="1">E34+1</f>
        <v>3</v>
      </c>
      <c r="G34" s="159">
        <f t="shared" si="1"/>
        <v>4</v>
      </c>
      <c r="H34" s="159">
        <f t="shared" si="1"/>
        <v>5</v>
      </c>
      <c r="I34" s="159">
        <f t="shared" si="1"/>
        <v>6</v>
      </c>
      <c r="J34" s="159">
        <f t="shared" si="1"/>
        <v>7</v>
      </c>
      <c r="K34" s="159">
        <f t="shared" si="1"/>
        <v>8</v>
      </c>
      <c r="L34" s="159">
        <f t="shared" si="1"/>
        <v>9</v>
      </c>
      <c r="M34" s="159">
        <f t="shared" si="1"/>
        <v>10</v>
      </c>
      <c r="N34" s="159">
        <f t="shared" si="1"/>
        <v>11</v>
      </c>
      <c r="O34" s="159">
        <f t="shared" si="1"/>
        <v>12</v>
      </c>
      <c r="P34" s="160">
        <f t="shared" si="1"/>
        <v>13</v>
      </c>
      <c r="Q34" s="50"/>
      <c r="R34" s="50"/>
      <c r="S34" s="50"/>
      <c r="T34" s="50"/>
      <c r="U34" s="50"/>
      <c r="V34" s="50"/>
      <c r="W34" s="50"/>
      <c r="X34" s="50"/>
      <c r="Y34" s="50"/>
      <c r="Z34" s="50"/>
    </row>
    <row r="35" spans="1:26" ht="15.75" customHeight="1" x14ac:dyDescent="0.35">
      <c r="A35" s="50"/>
      <c r="B35" s="46" t="s">
        <v>274</v>
      </c>
      <c r="C35" s="47"/>
      <c r="D35" s="48"/>
      <c r="E35" s="48"/>
      <c r="F35" s="48"/>
      <c r="G35" s="49"/>
      <c r="H35" s="49"/>
      <c r="I35" s="49"/>
      <c r="J35" s="49"/>
      <c r="K35" s="49"/>
      <c r="L35" s="49"/>
      <c r="M35" s="49"/>
      <c r="N35" s="50"/>
      <c r="O35" s="50"/>
      <c r="P35" s="115"/>
      <c r="Q35" s="50"/>
      <c r="R35" s="50"/>
      <c r="S35" s="50"/>
      <c r="T35" s="50"/>
      <c r="U35" s="50"/>
      <c r="V35" s="50"/>
      <c r="W35" s="50"/>
      <c r="X35" s="50"/>
      <c r="Y35" s="50"/>
      <c r="Z35" s="50"/>
    </row>
    <row r="36" spans="1:26" ht="15.75" customHeight="1" x14ac:dyDescent="0.35">
      <c r="A36" s="50"/>
      <c r="B36" s="53" t="s">
        <v>93</v>
      </c>
      <c r="C36" s="54" t="s">
        <v>94</v>
      </c>
      <c r="D36" s="49">
        <f>'1.Red. Purch. Cost Patient Care'!D74</f>
        <v>1000</v>
      </c>
      <c r="E36" s="49">
        <f>'1.Red. Purch. Cost Patient Care'!E74</f>
        <v>1000</v>
      </c>
      <c r="F36" s="49">
        <f>'1.Red. Purch. Cost Patient Care'!F74</f>
        <v>1000</v>
      </c>
      <c r="G36" s="49">
        <f>'1.Red. Purch. Cost Patient Care'!G74</f>
        <v>1050</v>
      </c>
      <c r="H36" s="49">
        <f>'1.Red. Purch. Cost Patient Care'!H74</f>
        <v>1102.5</v>
      </c>
      <c r="I36" s="49">
        <f>'1.Red. Purch. Cost Patient Care'!I74</f>
        <v>1157.625</v>
      </c>
      <c r="J36" s="49">
        <f>'1.Red. Purch. Cost Patient Care'!J74</f>
        <v>1215.5062500000001</v>
      </c>
      <c r="K36" s="49">
        <f>'1.Red. Purch. Cost Patient Care'!K74</f>
        <v>1276.2815625000003</v>
      </c>
      <c r="L36" s="49">
        <f>'1.Red. Purch. Cost Patient Care'!L74</f>
        <v>1340.0956406250004</v>
      </c>
      <c r="M36" s="49">
        <f>'1.Red. Purch. Cost Patient Care'!M74</f>
        <v>1407.1004226562504</v>
      </c>
      <c r="N36" s="49">
        <f>'1.Red. Purch. Cost Patient Care'!N74</f>
        <v>1477.4554437890631</v>
      </c>
      <c r="O36" s="49">
        <f>'1.Red. Purch. Cost Patient Care'!O74</f>
        <v>1551.3282159785163</v>
      </c>
      <c r="P36" s="117">
        <f>'1.Red. Purch. Cost Patient Care'!P74</f>
        <v>1628.8946267774422</v>
      </c>
      <c r="Q36" s="50"/>
      <c r="R36" s="50"/>
      <c r="S36" s="50"/>
      <c r="T36" s="50"/>
      <c r="U36" s="50"/>
      <c r="V36" s="50"/>
      <c r="W36" s="50"/>
      <c r="X36" s="50"/>
      <c r="Y36" s="50"/>
      <c r="Z36" s="50"/>
    </row>
    <row r="37" spans="1:26" ht="15.75" customHeight="1" x14ac:dyDescent="0.35">
      <c r="A37" s="50"/>
      <c r="B37" s="53" t="s">
        <v>95</v>
      </c>
      <c r="C37" s="54" t="s">
        <v>94</v>
      </c>
      <c r="D37" s="49">
        <f>'1.Red. Purch. Cost Patient Care'!D75</f>
        <v>1000</v>
      </c>
      <c r="E37" s="49">
        <f>'1.Red. Purch. Cost Patient Care'!E75</f>
        <v>1000</v>
      </c>
      <c r="F37" s="49">
        <f>'1.Red. Purch. Cost Patient Care'!F75</f>
        <v>1000</v>
      </c>
      <c r="G37" s="49">
        <f>'1.Red. Purch. Cost Patient Care'!G75</f>
        <v>1050</v>
      </c>
      <c r="H37" s="49">
        <f>'1.Red. Purch. Cost Patient Care'!H75</f>
        <v>1102.5</v>
      </c>
      <c r="I37" s="49">
        <f>'1.Red. Purch. Cost Patient Care'!I75</f>
        <v>1157.625</v>
      </c>
      <c r="J37" s="49">
        <f>'1.Red. Purch. Cost Patient Care'!J75</f>
        <v>1215.5062500000001</v>
      </c>
      <c r="K37" s="49">
        <f>'1.Red. Purch. Cost Patient Care'!K75</f>
        <v>1276.2815625000003</v>
      </c>
      <c r="L37" s="49">
        <f>'1.Red. Purch. Cost Patient Care'!L75</f>
        <v>1340.0956406250004</v>
      </c>
      <c r="M37" s="49">
        <f>'1.Red. Purch. Cost Patient Care'!M75</f>
        <v>1407.1004226562504</v>
      </c>
      <c r="N37" s="49">
        <f>'1.Red. Purch. Cost Patient Care'!N75</f>
        <v>1477.4554437890631</v>
      </c>
      <c r="O37" s="49">
        <f>'1.Red. Purch. Cost Patient Care'!O75</f>
        <v>1551.3282159785163</v>
      </c>
      <c r="P37" s="117">
        <f>'1.Red. Purch. Cost Patient Care'!P75</f>
        <v>1628.8946267774422</v>
      </c>
      <c r="Q37" s="50"/>
      <c r="R37" s="50"/>
      <c r="S37" s="50"/>
      <c r="T37" s="50"/>
      <c r="U37" s="50"/>
      <c r="V37" s="50"/>
      <c r="W37" s="50"/>
      <c r="X37" s="50"/>
      <c r="Y37" s="50"/>
      <c r="Z37" s="50"/>
    </row>
    <row r="38" spans="1:26" ht="15.75" customHeight="1" x14ac:dyDescent="0.35">
      <c r="A38" s="50"/>
      <c r="B38" s="53" t="s">
        <v>96</v>
      </c>
      <c r="C38" s="54" t="s">
        <v>94</v>
      </c>
      <c r="D38" s="49">
        <f>'1.Red. Purch. Cost Patient Care'!D76</f>
        <v>1000</v>
      </c>
      <c r="E38" s="49">
        <f>'1.Red. Purch. Cost Patient Care'!E76</f>
        <v>1000</v>
      </c>
      <c r="F38" s="49">
        <f>'1.Red. Purch. Cost Patient Care'!F76</f>
        <v>1000</v>
      </c>
      <c r="G38" s="49">
        <f>'1.Red. Purch. Cost Patient Care'!G76</f>
        <v>1050</v>
      </c>
      <c r="H38" s="49">
        <f>'1.Red. Purch. Cost Patient Care'!H76</f>
        <v>1102.5</v>
      </c>
      <c r="I38" s="49">
        <f>'1.Red. Purch. Cost Patient Care'!I76</f>
        <v>1157.625</v>
      </c>
      <c r="J38" s="49">
        <f>'1.Red. Purch. Cost Patient Care'!J76</f>
        <v>1215.5062500000001</v>
      </c>
      <c r="K38" s="49">
        <f>'1.Red. Purch. Cost Patient Care'!K76</f>
        <v>1276.2815625000003</v>
      </c>
      <c r="L38" s="49">
        <f>'1.Red. Purch. Cost Patient Care'!L76</f>
        <v>1340.0956406250004</v>
      </c>
      <c r="M38" s="49">
        <f>'1.Red. Purch. Cost Patient Care'!M76</f>
        <v>1407.1004226562504</v>
      </c>
      <c r="N38" s="49">
        <f>'1.Red. Purch. Cost Patient Care'!N76</f>
        <v>1477.4554437890631</v>
      </c>
      <c r="O38" s="49">
        <f>'1.Red. Purch. Cost Patient Care'!O76</f>
        <v>1551.3282159785163</v>
      </c>
      <c r="P38" s="117">
        <f>'1.Red. Purch. Cost Patient Care'!P76</f>
        <v>1628.8946267774422</v>
      </c>
      <c r="Q38" s="50"/>
      <c r="R38" s="50"/>
      <c r="S38" s="50"/>
      <c r="T38" s="50"/>
      <c r="U38" s="50"/>
      <c r="V38" s="50"/>
      <c r="W38" s="50"/>
      <c r="X38" s="50"/>
      <c r="Y38" s="50"/>
      <c r="Z38" s="50"/>
    </row>
    <row r="39" spans="1:26" ht="15.75" customHeight="1" x14ac:dyDescent="0.35">
      <c r="A39" s="50"/>
      <c r="B39" s="53" t="s">
        <v>97</v>
      </c>
      <c r="C39" s="54" t="s">
        <v>94</v>
      </c>
      <c r="D39" s="49">
        <f>'1.Red. Purch. Cost Patient Care'!D77</f>
        <v>1000</v>
      </c>
      <c r="E39" s="49">
        <f>'1.Red. Purch. Cost Patient Care'!E77</f>
        <v>1000</v>
      </c>
      <c r="F39" s="49">
        <f>'1.Red. Purch. Cost Patient Care'!F77</f>
        <v>1000</v>
      </c>
      <c r="G39" s="49">
        <f>'1.Red. Purch. Cost Patient Care'!G77</f>
        <v>1050</v>
      </c>
      <c r="H39" s="49">
        <f>'1.Red. Purch. Cost Patient Care'!H77</f>
        <v>1102.5</v>
      </c>
      <c r="I39" s="49">
        <f>'1.Red. Purch. Cost Patient Care'!I77</f>
        <v>1157.625</v>
      </c>
      <c r="J39" s="49">
        <f>'1.Red. Purch. Cost Patient Care'!J77</f>
        <v>1215.5062500000001</v>
      </c>
      <c r="K39" s="49">
        <f>'1.Red. Purch. Cost Patient Care'!K77</f>
        <v>1276.2815625000003</v>
      </c>
      <c r="L39" s="49">
        <f>'1.Red. Purch. Cost Patient Care'!L77</f>
        <v>1340.0956406250004</v>
      </c>
      <c r="M39" s="49">
        <f>'1.Red. Purch. Cost Patient Care'!M77</f>
        <v>1407.1004226562504</v>
      </c>
      <c r="N39" s="49">
        <f>'1.Red. Purch. Cost Patient Care'!N77</f>
        <v>1477.4554437890631</v>
      </c>
      <c r="O39" s="49">
        <f>'1.Red. Purch. Cost Patient Care'!O77</f>
        <v>1551.3282159785163</v>
      </c>
      <c r="P39" s="117">
        <f>'1.Red. Purch. Cost Patient Care'!P77</f>
        <v>1628.8946267774422</v>
      </c>
      <c r="Q39" s="50"/>
      <c r="R39" s="50"/>
      <c r="S39" s="50"/>
      <c r="T39" s="50"/>
      <c r="U39" s="50"/>
      <c r="V39" s="50"/>
      <c r="W39" s="50"/>
      <c r="X39" s="50"/>
      <c r="Y39" s="50"/>
      <c r="Z39" s="50"/>
    </row>
    <row r="40" spans="1:26" ht="15.75" customHeight="1" x14ac:dyDescent="0.35">
      <c r="A40" s="50"/>
      <c r="B40" s="53" t="s">
        <v>98</v>
      </c>
      <c r="C40" s="54" t="s">
        <v>94</v>
      </c>
      <c r="D40" s="49">
        <f>'1.Red. Purch. Cost Patient Care'!D78</f>
        <v>1000</v>
      </c>
      <c r="E40" s="49">
        <f>'1.Red. Purch. Cost Patient Care'!E78</f>
        <v>1000</v>
      </c>
      <c r="F40" s="49">
        <f>'1.Red. Purch. Cost Patient Care'!F78</f>
        <v>1000</v>
      </c>
      <c r="G40" s="49">
        <f>'1.Red. Purch. Cost Patient Care'!G78</f>
        <v>1050</v>
      </c>
      <c r="H40" s="49">
        <f>'1.Red. Purch. Cost Patient Care'!H78</f>
        <v>1102.5</v>
      </c>
      <c r="I40" s="49">
        <f>'1.Red. Purch. Cost Patient Care'!I78</f>
        <v>1157.625</v>
      </c>
      <c r="J40" s="49">
        <f>'1.Red. Purch. Cost Patient Care'!J78</f>
        <v>1215.5062500000001</v>
      </c>
      <c r="K40" s="49">
        <f>'1.Red. Purch. Cost Patient Care'!K78</f>
        <v>1276.2815625000003</v>
      </c>
      <c r="L40" s="49">
        <f>'1.Red. Purch. Cost Patient Care'!L78</f>
        <v>1340.0956406250004</v>
      </c>
      <c r="M40" s="49">
        <f>'1.Red. Purch. Cost Patient Care'!M78</f>
        <v>1407.1004226562504</v>
      </c>
      <c r="N40" s="49">
        <f>'1.Red. Purch. Cost Patient Care'!N78</f>
        <v>1477.4554437890631</v>
      </c>
      <c r="O40" s="49">
        <f>'1.Red. Purch. Cost Patient Care'!O78</f>
        <v>1551.3282159785163</v>
      </c>
      <c r="P40" s="117">
        <f>'1.Red. Purch. Cost Patient Care'!P78</f>
        <v>1628.8946267774422</v>
      </c>
      <c r="Q40" s="50"/>
      <c r="R40" s="50"/>
      <c r="S40" s="50"/>
      <c r="T40" s="50"/>
      <c r="U40" s="50"/>
      <c r="V40" s="50"/>
      <c r="W40" s="50"/>
      <c r="X40" s="50"/>
      <c r="Y40" s="50"/>
      <c r="Z40" s="50"/>
    </row>
    <row r="41" spans="1:26" ht="15.75" customHeight="1" x14ac:dyDescent="0.35">
      <c r="A41" s="50"/>
      <c r="B41" s="53" t="s">
        <v>275</v>
      </c>
      <c r="C41" s="54" t="s">
        <v>94</v>
      </c>
      <c r="D41" s="49">
        <f>'1.Red. Purch. Cost Patient Care'!D79</f>
        <v>1000</v>
      </c>
      <c r="E41" s="49">
        <f>'1.Red. Purch. Cost Patient Care'!E79</f>
        <v>1000</v>
      </c>
      <c r="F41" s="49">
        <f>'1.Red. Purch. Cost Patient Care'!F79</f>
        <v>1000</v>
      </c>
      <c r="G41" s="49">
        <f>'1.Red. Purch. Cost Patient Care'!G79</f>
        <v>1050</v>
      </c>
      <c r="H41" s="49">
        <f>'1.Red. Purch. Cost Patient Care'!H79</f>
        <v>1102.5</v>
      </c>
      <c r="I41" s="49">
        <f>'1.Red. Purch. Cost Patient Care'!I79</f>
        <v>1157.625</v>
      </c>
      <c r="J41" s="49">
        <f>'1.Red. Purch. Cost Patient Care'!J79</f>
        <v>1215.5062500000001</v>
      </c>
      <c r="K41" s="49">
        <f>'1.Red. Purch. Cost Patient Care'!K79</f>
        <v>1276.2815625000003</v>
      </c>
      <c r="L41" s="49">
        <f>'1.Red. Purch. Cost Patient Care'!L79</f>
        <v>1340.0956406250004</v>
      </c>
      <c r="M41" s="49">
        <f>'1.Red. Purch. Cost Patient Care'!M79</f>
        <v>1407.1004226562504</v>
      </c>
      <c r="N41" s="49">
        <f>'1.Red. Purch. Cost Patient Care'!N79</f>
        <v>1477.4554437890631</v>
      </c>
      <c r="O41" s="49">
        <f>'1.Red. Purch. Cost Patient Care'!O79</f>
        <v>1551.3282159785163</v>
      </c>
      <c r="P41" s="117">
        <f>'1.Red. Purch. Cost Patient Care'!P79</f>
        <v>1628.8946267774422</v>
      </c>
      <c r="Q41" s="50"/>
      <c r="R41" s="50"/>
      <c r="S41" s="50"/>
      <c r="T41" s="50"/>
      <c r="U41" s="50"/>
      <c r="V41" s="50"/>
      <c r="W41" s="50"/>
      <c r="X41" s="50"/>
      <c r="Y41" s="50"/>
      <c r="Z41" s="50"/>
    </row>
    <row r="42" spans="1:26" ht="15.75" customHeight="1" x14ac:dyDescent="0.35">
      <c r="A42" s="50"/>
      <c r="B42" s="53" t="s">
        <v>276</v>
      </c>
      <c r="C42" s="54" t="s">
        <v>94</v>
      </c>
      <c r="D42" s="49">
        <f>'1.Red. Purch. Cost Patient Care'!D80</f>
        <v>1000</v>
      </c>
      <c r="E42" s="49">
        <f>'1.Red. Purch. Cost Patient Care'!E80</f>
        <v>1000</v>
      </c>
      <c r="F42" s="49">
        <f>'1.Red. Purch. Cost Patient Care'!F80</f>
        <v>1000</v>
      </c>
      <c r="G42" s="49">
        <f>'1.Red. Purch. Cost Patient Care'!G80</f>
        <v>1050</v>
      </c>
      <c r="H42" s="49">
        <f>'1.Red. Purch. Cost Patient Care'!H80</f>
        <v>1102.5</v>
      </c>
      <c r="I42" s="49">
        <f>'1.Red. Purch. Cost Patient Care'!I80</f>
        <v>1157.625</v>
      </c>
      <c r="J42" s="49">
        <f>'1.Red. Purch. Cost Patient Care'!J80</f>
        <v>1215.5062500000001</v>
      </c>
      <c r="K42" s="49">
        <f>'1.Red. Purch. Cost Patient Care'!K80</f>
        <v>1276.2815625000003</v>
      </c>
      <c r="L42" s="49">
        <f>'1.Red. Purch. Cost Patient Care'!L80</f>
        <v>1340.0956406250004</v>
      </c>
      <c r="M42" s="49">
        <f>'1.Red. Purch. Cost Patient Care'!M80</f>
        <v>1407.1004226562504</v>
      </c>
      <c r="N42" s="49">
        <f>'1.Red. Purch. Cost Patient Care'!N80</f>
        <v>1477.4554437890631</v>
      </c>
      <c r="O42" s="49">
        <f>'1.Red. Purch. Cost Patient Care'!O80</f>
        <v>1551.3282159785163</v>
      </c>
      <c r="P42" s="117">
        <f>'1.Red. Purch. Cost Patient Care'!P80</f>
        <v>1628.8946267774422</v>
      </c>
      <c r="Q42" s="50"/>
      <c r="R42" s="50"/>
      <c r="S42" s="50"/>
      <c r="T42" s="50"/>
      <c r="U42" s="50"/>
      <c r="V42" s="50"/>
      <c r="W42" s="50"/>
      <c r="X42" s="50"/>
      <c r="Y42" s="50"/>
      <c r="Z42" s="50"/>
    </row>
    <row r="43" spans="1:26" ht="15.75" customHeight="1" x14ac:dyDescent="0.35">
      <c r="A43" s="237"/>
      <c r="B43" s="238" t="s">
        <v>65</v>
      </c>
      <c r="C43" s="239"/>
      <c r="D43" s="240">
        <f t="shared" ref="D43:P43" si="2">SUM(D36:D42)</f>
        <v>7000</v>
      </c>
      <c r="E43" s="240">
        <f t="shared" si="2"/>
        <v>7000</v>
      </c>
      <c r="F43" s="240">
        <f t="shared" si="2"/>
        <v>7000</v>
      </c>
      <c r="G43" s="240">
        <f t="shared" si="2"/>
        <v>7350</v>
      </c>
      <c r="H43" s="240">
        <f t="shared" si="2"/>
        <v>7717.5</v>
      </c>
      <c r="I43" s="240">
        <f t="shared" si="2"/>
        <v>8103.375</v>
      </c>
      <c r="J43" s="240">
        <f t="shared" si="2"/>
        <v>8508.5437500000007</v>
      </c>
      <c r="K43" s="240">
        <f t="shared" si="2"/>
        <v>8933.970937500002</v>
      </c>
      <c r="L43" s="240">
        <f t="shared" si="2"/>
        <v>9380.6694843750029</v>
      </c>
      <c r="M43" s="240">
        <f t="shared" si="2"/>
        <v>9849.7029585937544</v>
      </c>
      <c r="N43" s="240">
        <f t="shared" si="2"/>
        <v>10342.188106523443</v>
      </c>
      <c r="O43" s="240">
        <f t="shared" si="2"/>
        <v>10859.297511849612</v>
      </c>
      <c r="P43" s="241">
        <f t="shared" si="2"/>
        <v>11402.262387442097</v>
      </c>
      <c r="Q43" s="237"/>
      <c r="R43" s="237"/>
      <c r="S43" s="237"/>
      <c r="T43" s="237"/>
      <c r="U43" s="237"/>
      <c r="V43" s="237"/>
      <c r="W43" s="237"/>
      <c r="X43" s="237"/>
      <c r="Y43" s="237"/>
      <c r="Z43" s="237"/>
    </row>
    <row r="44" spans="1:26" ht="15.75" customHeight="1" x14ac:dyDescent="0.35">
      <c r="A44" s="50"/>
      <c r="B44" s="62" t="s">
        <v>277</v>
      </c>
      <c r="C44" s="63"/>
      <c r="D44" s="120"/>
      <c r="E44" s="50"/>
      <c r="F44" s="50"/>
      <c r="G44" s="50"/>
      <c r="H44" s="50"/>
      <c r="I44" s="50"/>
      <c r="J44" s="50"/>
      <c r="K44" s="50"/>
      <c r="L44" s="50"/>
      <c r="M44" s="50"/>
      <c r="N44" s="50"/>
      <c r="O44" s="50"/>
      <c r="P44" s="115"/>
      <c r="Q44" s="50"/>
      <c r="R44" s="50"/>
      <c r="S44" s="50"/>
      <c r="T44" s="50"/>
      <c r="U44" s="50"/>
      <c r="V44" s="50"/>
      <c r="W44" s="50"/>
      <c r="X44" s="50"/>
      <c r="Y44" s="50"/>
      <c r="Z44" s="50"/>
    </row>
    <row r="45" spans="1:26" ht="15.75" customHeight="1" x14ac:dyDescent="0.35">
      <c r="A45" s="50"/>
      <c r="B45" s="53" t="s">
        <v>93</v>
      </c>
      <c r="C45" s="63" t="s">
        <v>262</v>
      </c>
      <c r="D45" s="242">
        <f t="shared" ref="D45:P45" si="3">$D$22</f>
        <v>1.1319999999999999</v>
      </c>
      <c r="E45" s="242">
        <f t="shared" si="3"/>
        <v>1.1319999999999999</v>
      </c>
      <c r="F45" s="242">
        <f t="shared" si="3"/>
        <v>1.1319999999999999</v>
      </c>
      <c r="G45" s="242">
        <f t="shared" si="3"/>
        <v>1.1319999999999999</v>
      </c>
      <c r="H45" s="242">
        <f t="shared" si="3"/>
        <v>1.1319999999999999</v>
      </c>
      <c r="I45" s="242">
        <f t="shared" si="3"/>
        <v>1.1319999999999999</v>
      </c>
      <c r="J45" s="242">
        <f t="shared" si="3"/>
        <v>1.1319999999999999</v>
      </c>
      <c r="K45" s="242">
        <f t="shared" si="3"/>
        <v>1.1319999999999999</v>
      </c>
      <c r="L45" s="242">
        <f t="shared" si="3"/>
        <v>1.1319999999999999</v>
      </c>
      <c r="M45" s="242">
        <f t="shared" si="3"/>
        <v>1.1319999999999999</v>
      </c>
      <c r="N45" s="242">
        <f t="shared" si="3"/>
        <v>1.1319999999999999</v>
      </c>
      <c r="O45" s="242">
        <f t="shared" si="3"/>
        <v>1.1319999999999999</v>
      </c>
      <c r="P45" s="243">
        <f t="shared" si="3"/>
        <v>1.1319999999999999</v>
      </c>
      <c r="Q45" s="50"/>
      <c r="R45" s="50"/>
      <c r="S45" s="50"/>
      <c r="T45" s="50"/>
      <c r="U45" s="50"/>
      <c r="V45" s="50"/>
      <c r="W45" s="50"/>
      <c r="X45" s="50"/>
      <c r="Y45" s="50"/>
      <c r="Z45" s="50"/>
    </row>
    <row r="46" spans="1:26" ht="15.75" customHeight="1" x14ac:dyDescent="0.35">
      <c r="A46" s="50"/>
      <c r="B46" s="53" t="s">
        <v>95</v>
      </c>
      <c r="C46" s="63" t="s">
        <v>262</v>
      </c>
      <c r="D46" s="242">
        <f t="shared" ref="D46:P46" si="4">$D$22</f>
        <v>1.1319999999999999</v>
      </c>
      <c r="E46" s="242">
        <f t="shared" si="4"/>
        <v>1.1319999999999999</v>
      </c>
      <c r="F46" s="242">
        <f t="shared" si="4"/>
        <v>1.1319999999999999</v>
      </c>
      <c r="G46" s="242">
        <f t="shared" si="4"/>
        <v>1.1319999999999999</v>
      </c>
      <c r="H46" s="242">
        <f t="shared" si="4"/>
        <v>1.1319999999999999</v>
      </c>
      <c r="I46" s="242">
        <f t="shared" si="4"/>
        <v>1.1319999999999999</v>
      </c>
      <c r="J46" s="242">
        <f t="shared" si="4"/>
        <v>1.1319999999999999</v>
      </c>
      <c r="K46" s="242">
        <f t="shared" si="4"/>
        <v>1.1319999999999999</v>
      </c>
      <c r="L46" s="242">
        <f t="shared" si="4"/>
        <v>1.1319999999999999</v>
      </c>
      <c r="M46" s="242">
        <f t="shared" si="4"/>
        <v>1.1319999999999999</v>
      </c>
      <c r="N46" s="242">
        <f t="shared" si="4"/>
        <v>1.1319999999999999</v>
      </c>
      <c r="O46" s="242">
        <f t="shared" si="4"/>
        <v>1.1319999999999999</v>
      </c>
      <c r="P46" s="243">
        <f t="shared" si="4"/>
        <v>1.1319999999999999</v>
      </c>
      <c r="Q46" s="50"/>
      <c r="R46" s="50"/>
      <c r="S46" s="50"/>
      <c r="T46" s="50"/>
      <c r="U46" s="50"/>
      <c r="V46" s="50"/>
      <c r="W46" s="50"/>
      <c r="X46" s="50"/>
      <c r="Y46" s="50"/>
      <c r="Z46" s="50"/>
    </row>
    <row r="47" spans="1:26" ht="15.75" customHeight="1" x14ac:dyDescent="0.35">
      <c r="A47" s="50"/>
      <c r="B47" s="53" t="s">
        <v>96</v>
      </c>
      <c r="C47" s="63" t="s">
        <v>262</v>
      </c>
      <c r="D47" s="242">
        <f t="shared" ref="D47:P47" si="5">$D$22</f>
        <v>1.1319999999999999</v>
      </c>
      <c r="E47" s="242">
        <f t="shared" si="5"/>
        <v>1.1319999999999999</v>
      </c>
      <c r="F47" s="242">
        <f t="shared" si="5"/>
        <v>1.1319999999999999</v>
      </c>
      <c r="G47" s="242">
        <f t="shared" si="5"/>
        <v>1.1319999999999999</v>
      </c>
      <c r="H47" s="242">
        <f t="shared" si="5"/>
        <v>1.1319999999999999</v>
      </c>
      <c r="I47" s="242">
        <f t="shared" si="5"/>
        <v>1.1319999999999999</v>
      </c>
      <c r="J47" s="242">
        <f t="shared" si="5"/>
        <v>1.1319999999999999</v>
      </c>
      <c r="K47" s="242">
        <f t="shared" si="5"/>
        <v>1.1319999999999999</v>
      </c>
      <c r="L47" s="242">
        <f t="shared" si="5"/>
        <v>1.1319999999999999</v>
      </c>
      <c r="M47" s="242">
        <f t="shared" si="5"/>
        <v>1.1319999999999999</v>
      </c>
      <c r="N47" s="242">
        <f t="shared" si="5"/>
        <v>1.1319999999999999</v>
      </c>
      <c r="O47" s="242">
        <f t="shared" si="5"/>
        <v>1.1319999999999999</v>
      </c>
      <c r="P47" s="243">
        <f t="shared" si="5"/>
        <v>1.1319999999999999</v>
      </c>
      <c r="Q47" s="50"/>
      <c r="R47" s="50"/>
      <c r="S47" s="50"/>
      <c r="T47" s="50"/>
      <c r="U47" s="50"/>
      <c r="V47" s="50"/>
      <c r="W47" s="50"/>
      <c r="X47" s="50"/>
      <c r="Y47" s="50"/>
      <c r="Z47" s="50"/>
    </row>
    <row r="48" spans="1:26" ht="15.75" customHeight="1" x14ac:dyDescent="0.35">
      <c r="A48" s="50"/>
      <c r="B48" s="53" t="s">
        <v>97</v>
      </c>
      <c r="C48" s="63" t="s">
        <v>262</v>
      </c>
      <c r="D48" s="242">
        <f t="shared" ref="D48:P48" si="6">$D$22</f>
        <v>1.1319999999999999</v>
      </c>
      <c r="E48" s="242">
        <f t="shared" si="6"/>
        <v>1.1319999999999999</v>
      </c>
      <c r="F48" s="242">
        <f t="shared" si="6"/>
        <v>1.1319999999999999</v>
      </c>
      <c r="G48" s="242">
        <f t="shared" si="6"/>
        <v>1.1319999999999999</v>
      </c>
      <c r="H48" s="242">
        <f t="shared" si="6"/>
        <v>1.1319999999999999</v>
      </c>
      <c r="I48" s="242">
        <f t="shared" si="6"/>
        <v>1.1319999999999999</v>
      </c>
      <c r="J48" s="242">
        <f t="shared" si="6"/>
        <v>1.1319999999999999</v>
      </c>
      <c r="K48" s="242">
        <f t="shared" si="6"/>
        <v>1.1319999999999999</v>
      </c>
      <c r="L48" s="242">
        <f t="shared" si="6"/>
        <v>1.1319999999999999</v>
      </c>
      <c r="M48" s="242">
        <f t="shared" si="6"/>
        <v>1.1319999999999999</v>
      </c>
      <c r="N48" s="242">
        <f t="shared" si="6"/>
        <v>1.1319999999999999</v>
      </c>
      <c r="O48" s="242">
        <f t="shared" si="6"/>
        <v>1.1319999999999999</v>
      </c>
      <c r="P48" s="243">
        <f t="shared" si="6"/>
        <v>1.1319999999999999</v>
      </c>
      <c r="Q48" s="50"/>
      <c r="R48" s="50"/>
      <c r="S48" s="50"/>
      <c r="T48" s="50"/>
      <c r="U48" s="50"/>
      <c r="V48" s="50"/>
      <c r="W48" s="50"/>
      <c r="X48" s="50"/>
      <c r="Y48" s="50"/>
      <c r="Z48" s="50"/>
    </row>
    <row r="49" spans="1:26" ht="15.75" customHeight="1" x14ac:dyDescent="0.35">
      <c r="A49" s="50"/>
      <c r="B49" s="53" t="s">
        <v>98</v>
      </c>
      <c r="C49" s="63" t="s">
        <v>262</v>
      </c>
      <c r="D49" s="242">
        <f t="shared" ref="D49:P49" si="7">$D$22</f>
        <v>1.1319999999999999</v>
      </c>
      <c r="E49" s="242">
        <f t="shared" si="7"/>
        <v>1.1319999999999999</v>
      </c>
      <c r="F49" s="242">
        <f t="shared" si="7"/>
        <v>1.1319999999999999</v>
      </c>
      <c r="G49" s="242">
        <f t="shared" si="7"/>
        <v>1.1319999999999999</v>
      </c>
      <c r="H49" s="242">
        <f t="shared" si="7"/>
        <v>1.1319999999999999</v>
      </c>
      <c r="I49" s="242">
        <f t="shared" si="7"/>
        <v>1.1319999999999999</v>
      </c>
      <c r="J49" s="242">
        <f t="shared" si="7"/>
        <v>1.1319999999999999</v>
      </c>
      <c r="K49" s="242">
        <f t="shared" si="7"/>
        <v>1.1319999999999999</v>
      </c>
      <c r="L49" s="242">
        <f t="shared" si="7"/>
        <v>1.1319999999999999</v>
      </c>
      <c r="M49" s="242">
        <f t="shared" si="7"/>
        <v>1.1319999999999999</v>
      </c>
      <c r="N49" s="242">
        <f t="shared" si="7"/>
        <v>1.1319999999999999</v>
      </c>
      <c r="O49" s="242">
        <f t="shared" si="7"/>
        <v>1.1319999999999999</v>
      </c>
      <c r="P49" s="243">
        <f t="shared" si="7"/>
        <v>1.1319999999999999</v>
      </c>
      <c r="Q49" s="50"/>
      <c r="R49" s="50"/>
      <c r="S49" s="50"/>
      <c r="T49" s="50"/>
      <c r="U49" s="50"/>
      <c r="V49" s="50"/>
      <c r="W49" s="50"/>
      <c r="X49" s="50"/>
      <c r="Y49" s="50"/>
      <c r="Z49" s="50"/>
    </row>
    <row r="50" spans="1:26" ht="15.75" customHeight="1" x14ac:dyDescent="0.35">
      <c r="A50" s="50"/>
      <c r="B50" s="53" t="s">
        <v>275</v>
      </c>
      <c r="C50" s="63" t="s">
        <v>262</v>
      </c>
      <c r="D50" s="242">
        <f t="shared" ref="D50:P50" si="8">$D$22</f>
        <v>1.1319999999999999</v>
      </c>
      <c r="E50" s="242">
        <f t="shared" si="8"/>
        <v>1.1319999999999999</v>
      </c>
      <c r="F50" s="242">
        <f t="shared" si="8"/>
        <v>1.1319999999999999</v>
      </c>
      <c r="G50" s="242">
        <f t="shared" si="8"/>
        <v>1.1319999999999999</v>
      </c>
      <c r="H50" s="242">
        <f t="shared" si="8"/>
        <v>1.1319999999999999</v>
      </c>
      <c r="I50" s="242">
        <f t="shared" si="8"/>
        <v>1.1319999999999999</v>
      </c>
      <c r="J50" s="242">
        <f t="shared" si="8"/>
        <v>1.1319999999999999</v>
      </c>
      <c r="K50" s="242">
        <f t="shared" si="8"/>
        <v>1.1319999999999999</v>
      </c>
      <c r="L50" s="242">
        <f t="shared" si="8"/>
        <v>1.1319999999999999</v>
      </c>
      <c r="M50" s="242">
        <f t="shared" si="8"/>
        <v>1.1319999999999999</v>
      </c>
      <c r="N50" s="242">
        <f t="shared" si="8"/>
        <v>1.1319999999999999</v>
      </c>
      <c r="O50" s="242">
        <f t="shared" si="8"/>
        <v>1.1319999999999999</v>
      </c>
      <c r="P50" s="243">
        <f t="shared" si="8"/>
        <v>1.1319999999999999</v>
      </c>
      <c r="Q50" s="50"/>
      <c r="R50" s="50"/>
      <c r="S50" s="50"/>
      <c r="T50" s="50"/>
      <c r="U50" s="50"/>
      <c r="V50" s="50"/>
      <c r="W50" s="50"/>
      <c r="X50" s="50"/>
      <c r="Y50" s="50"/>
      <c r="Z50" s="50"/>
    </row>
    <row r="51" spans="1:26" ht="15.75" customHeight="1" x14ac:dyDescent="0.35">
      <c r="A51" s="50"/>
      <c r="B51" s="53" t="s">
        <v>276</v>
      </c>
      <c r="C51" s="63" t="s">
        <v>262</v>
      </c>
      <c r="D51" s="242">
        <f t="shared" ref="D51:P51" si="9">$D$22</f>
        <v>1.1319999999999999</v>
      </c>
      <c r="E51" s="242">
        <f t="shared" si="9"/>
        <v>1.1319999999999999</v>
      </c>
      <c r="F51" s="242">
        <f t="shared" si="9"/>
        <v>1.1319999999999999</v>
      </c>
      <c r="G51" s="242">
        <f t="shared" si="9"/>
        <v>1.1319999999999999</v>
      </c>
      <c r="H51" s="242">
        <f t="shared" si="9"/>
        <v>1.1319999999999999</v>
      </c>
      <c r="I51" s="242">
        <f t="shared" si="9"/>
        <v>1.1319999999999999</v>
      </c>
      <c r="J51" s="242">
        <f t="shared" si="9"/>
        <v>1.1319999999999999</v>
      </c>
      <c r="K51" s="242">
        <f t="shared" si="9"/>
        <v>1.1319999999999999</v>
      </c>
      <c r="L51" s="242">
        <f t="shared" si="9"/>
        <v>1.1319999999999999</v>
      </c>
      <c r="M51" s="242">
        <f t="shared" si="9"/>
        <v>1.1319999999999999</v>
      </c>
      <c r="N51" s="242">
        <f t="shared" si="9"/>
        <v>1.1319999999999999</v>
      </c>
      <c r="O51" s="242">
        <f t="shared" si="9"/>
        <v>1.1319999999999999</v>
      </c>
      <c r="P51" s="243">
        <f t="shared" si="9"/>
        <v>1.1319999999999999</v>
      </c>
      <c r="Q51" s="50"/>
      <c r="R51" s="50"/>
      <c r="S51" s="50"/>
      <c r="T51" s="50"/>
      <c r="U51" s="50"/>
      <c r="V51" s="50"/>
      <c r="W51" s="50"/>
      <c r="X51" s="50"/>
      <c r="Y51" s="50"/>
      <c r="Z51" s="50"/>
    </row>
    <row r="52" spans="1:26" ht="15.75" customHeight="1" x14ac:dyDescent="0.35">
      <c r="A52" s="50"/>
      <c r="B52" s="46" t="s">
        <v>259</v>
      </c>
      <c r="C52" s="65"/>
      <c r="D52" s="123"/>
      <c r="E52" s="123"/>
      <c r="F52" s="123"/>
      <c r="G52" s="50"/>
      <c r="H52" s="50"/>
      <c r="I52" s="50"/>
      <c r="J52" s="50"/>
      <c r="K52" s="50"/>
      <c r="L52" s="50"/>
      <c r="M52" s="50"/>
      <c r="N52" s="50"/>
      <c r="O52" s="50"/>
      <c r="P52" s="115"/>
      <c r="Q52" s="50"/>
      <c r="R52" s="50"/>
      <c r="S52" s="50"/>
      <c r="T52" s="50"/>
      <c r="U52" s="50"/>
      <c r="V52" s="50"/>
      <c r="W52" s="50"/>
      <c r="X52" s="50"/>
      <c r="Y52" s="50"/>
      <c r="Z52" s="50"/>
    </row>
    <row r="53" spans="1:26" ht="15.75" customHeight="1" x14ac:dyDescent="0.35">
      <c r="A53" s="50"/>
      <c r="B53" s="53" t="s">
        <v>93</v>
      </c>
      <c r="C53" s="54" t="s">
        <v>94</v>
      </c>
      <c r="D53" s="80">
        <f t="shared" ref="D53:F53" si="10">D12</f>
        <v>100</v>
      </c>
      <c r="E53" s="80">
        <f t="shared" si="10"/>
        <v>100</v>
      </c>
      <c r="F53" s="80">
        <f t="shared" si="10"/>
        <v>100</v>
      </c>
      <c r="G53" s="120">
        <f t="shared" ref="G53:P53" si="11">IFERROR(F53*(1+$D$26),"")</f>
        <v>110.00000000000001</v>
      </c>
      <c r="H53" s="120">
        <f t="shared" si="11"/>
        <v>121.00000000000003</v>
      </c>
      <c r="I53" s="120">
        <f t="shared" si="11"/>
        <v>133.10000000000005</v>
      </c>
      <c r="J53" s="120">
        <f t="shared" si="11"/>
        <v>146.41000000000008</v>
      </c>
      <c r="K53" s="120">
        <f t="shared" si="11"/>
        <v>161.0510000000001</v>
      </c>
      <c r="L53" s="120">
        <f t="shared" si="11"/>
        <v>177.15610000000012</v>
      </c>
      <c r="M53" s="120">
        <f t="shared" si="11"/>
        <v>194.87171000000015</v>
      </c>
      <c r="N53" s="120">
        <f t="shared" si="11"/>
        <v>214.3588810000002</v>
      </c>
      <c r="O53" s="120">
        <f t="shared" si="11"/>
        <v>235.79476910000022</v>
      </c>
      <c r="P53" s="124">
        <f t="shared" si="11"/>
        <v>259.37424601000026</v>
      </c>
      <c r="Q53" s="50"/>
      <c r="R53" s="50"/>
      <c r="S53" s="50"/>
      <c r="T53" s="50"/>
      <c r="U53" s="50"/>
      <c r="V53" s="50"/>
      <c r="W53" s="50"/>
      <c r="X53" s="50"/>
      <c r="Y53" s="50"/>
      <c r="Z53" s="50"/>
    </row>
    <row r="54" spans="1:26" ht="15.75" customHeight="1" x14ac:dyDescent="0.35">
      <c r="A54" s="50"/>
      <c r="B54" s="53" t="s">
        <v>95</v>
      </c>
      <c r="C54" s="54" t="s">
        <v>94</v>
      </c>
      <c r="D54" s="80">
        <f t="shared" ref="D54:F54" si="12">D13</f>
        <v>100</v>
      </c>
      <c r="E54" s="80">
        <f t="shared" si="12"/>
        <v>100</v>
      </c>
      <c r="F54" s="80">
        <f t="shared" si="12"/>
        <v>100</v>
      </c>
      <c r="G54" s="120">
        <f t="shared" ref="G54:P54" si="13">IFERROR(F54*(1+$D$26),"")</f>
        <v>110.00000000000001</v>
      </c>
      <c r="H54" s="120">
        <f t="shared" si="13"/>
        <v>121.00000000000003</v>
      </c>
      <c r="I54" s="120">
        <f t="shared" si="13"/>
        <v>133.10000000000005</v>
      </c>
      <c r="J54" s="120">
        <f t="shared" si="13"/>
        <v>146.41000000000008</v>
      </c>
      <c r="K54" s="120">
        <f t="shared" si="13"/>
        <v>161.0510000000001</v>
      </c>
      <c r="L54" s="120">
        <f t="shared" si="13"/>
        <v>177.15610000000012</v>
      </c>
      <c r="M54" s="120">
        <f t="shared" si="13"/>
        <v>194.87171000000015</v>
      </c>
      <c r="N54" s="120">
        <f t="shared" si="13"/>
        <v>214.3588810000002</v>
      </c>
      <c r="O54" s="120">
        <f t="shared" si="13"/>
        <v>235.79476910000022</v>
      </c>
      <c r="P54" s="124">
        <f t="shared" si="13"/>
        <v>259.37424601000026</v>
      </c>
      <c r="Q54" s="50"/>
      <c r="R54" s="50"/>
      <c r="S54" s="50"/>
      <c r="T54" s="50"/>
      <c r="U54" s="50"/>
      <c r="V54" s="50"/>
      <c r="W54" s="50"/>
      <c r="X54" s="50"/>
      <c r="Y54" s="50"/>
      <c r="Z54" s="50"/>
    </row>
    <row r="55" spans="1:26" ht="15.75" customHeight="1" x14ac:dyDescent="0.35">
      <c r="A55" s="50"/>
      <c r="B55" s="53" t="s">
        <v>96</v>
      </c>
      <c r="C55" s="54" t="s">
        <v>94</v>
      </c>
      <c r="D55" s="80">
        <f t="shared" ref="D55:F55" si="14">D14</f>
        <v>100</v>
      </c>
      <c r="E55" s="80">
        <f t="shared" si="14"/>
        <v>100</v>
      </c>
      <c r="F55" s="80">
        <f t="shared" si="14"/>
        <v>100</v>
      </c>
      <c r="G55" s="120">
        <f t="shared" ref="G55:P55" si="15">IFERROR(F55*(1+$D$26),"")</f>
        <v>110.00000000000001</v>
      </c>
      <c r="H55" s="120">
        <f t="shared" si="15"/>
        <v>121.00000000000003</v>
      </c>
      <c r="I55" s="120">
        <f t="shared" si="15"/>
        <v>133.10000000000005</v>
      </c>
      <c r="J55" s="120">
        <f t="shared" si="15"/>
        <v>146.41000000000008</v>
      </c>
      <c r="K55" s="120">
        <f t="shared" si="15"/>
        <v>161.0510000000001</v>
      </c>
      <c r="L55" s="120">
        <f t="shared" si="15"/>
        <v>177.15610000000012</v>
      </c>
      <c r="M55" s="120">
        <f t="shared" si="15"/>
        <v>194.87171000000015</v>
      </c>
      <c r="N55" s="120">
        <f t="shared" si="15"/>
        <v>214.3588810000002</v>
      </c>
      <c r="O55" s="120">
        <f t="shared" si="15"/>
        <v>235.79476910000022</v>
      </c>
      <c r="P55" s="124">
        <f t="shared" si="15"/>
        <v>259.37424601000026</v>
      </c>
      <c r="Q55" s="50"/>
      <c r="R55" s="50"/>
      <c r="S55" s="50"/>
      <c r="T55" s="50"/>
      <c r="U55" s="50"/>
      <c r="V55" s="50"/>
      <c r="W55" s="50"/>
      <c r="X55" s="50"/>
      <c r="Y55" s="50"/>
      <c r="Z55" s="50"/>
    </row>
    <row r="56" spans="1:26" ht="15.75" customHeight="1" x14ac:dyDescent="0.35">
      <c r="A56" s="50"/>
      <c r="B56" s="53" t="s">
        <v>97</v>
      </c>
      <c r="C56" s="54" t="s">
        <v>94</v>
      </c>
      <c r="D56" s="80">
        <f t="shared" ref="D56:F56" si="16">D15</f>
        <v>100</v>
      </c>
      <c r="E56" s="80">
        <f t="shared" si="16"/>
        <v>100</v>
      </c>
      <c r="F56" s="80">
        <f t="shared" si="16"/>
        <v>100</v>
      </c>
      <c r="G56" s="120">
        <f t="shared" ref="G56:P56" si="17">IFERROR(F56*(1+$D$26),"")</f>
        <v>110.00000000000001</v>
      </c>
      <c r="H56" s="120">
        <f t="shared" si="17"/>
        <v>121.00000000000003</v>
      </c>
      <c r="I56" s="120">
        <f t="shared" si="17"/>
        <v>133.10000000000005</v>
      </c>
      <c r="J56" s="120">
        <f t="shared" si="17"/>
        <v>146.41000000000008</v>
      </c>
      <c r="K56" s="120">
        <f t="shared" si="17"/>
        <v>161.0510000000001</v>
      </c>
      <c r="L56" s="120">
        <f t="shared" si="17"/>
        <v>177.15610000000012</v>
      </c>
      <c r="M56" s="120">
        <f t="shared" si="17"/>
        <v>194.87171000000015</v>
      </c>
      <c r="N56" s="120">
        <f t="shared" si="17"/>
        <v>214.3588810000002</v>
      </c>
      <c r="O56" s="120">
        <f t="shared" si="17"/>
        <v>235.79476910000022</v>
      </c>
      <c r="P56" s="124">
        <f t="shared" si="17"/>
        <v>259.37424601000026</v>
      </c>
      <c r="Q56" s="50"/>
      <c r="R56" s="50"/>
      <c r="S56" s="50"/>
      <c r="T56" s="50"/>
      <c r="U56" s="50"/>
      <c r="V56" s="50"/>
      <c r="W56" s="50"/>
      <c r="X56" s="50"/>
      <c r="Y56" s="50"/>
      <c r="Z56" s="50"/>
    </row>
    <row r="57" spans="1:26" ht="15.75" customHeight="1" x14ac:dyDescent="0.35">
      <c r="A57" s="50"/>
      <c r="B57" s="53" t="s">
        <v>98</v>
      </c>
      <c r="C57" s="54" t="s">
        <v>94</v>
      </c>
      <c r="D57" s="80">
        <f t="shared" ref="D57:F57" si="18">D16</f>
        <v>100</v>
      </c>
      <c r="E57" s="80">
        <f t="shared" si="18"/>
        <v>100</v>
      </c>
      <c r="F57" s="80">
        <f t="shared" si="18"/>
        <v>100</v>
      </c>
      <c r="G57" s="120">
        <f t="shared" ref="G57:P57" si="19">IFERROR(F57*(1+$D$26),"")</f>
        <v>110.00000000000001</v>
      </c>
      <c r="H57" s="120">
        <f t="shared" si="19"/>
        <v>121.00000000000003</v>
      </c>
      <c r="I57" s="120">
        <f t="shared" si="19"/>
        <v>133.10000000000005</v>
      </c>
      <c r="J57" s="120">
        <f t="shared" si="19"/>
        <v>146.41000000000008</v>
      </c>
      <c r="K57" s="120">
        <f t="shared" si="19"/>
        <v>161.0510000000001</v>
      </c>
      <c r="L57" s="120">
        <f t="shared" si="19"/>
        <v>177.15610000000012</v>
      </c>
      <c r="M57" s="120">
        <f t="shared" si="19"/>
        <v>194.87171000000015</v>
      </c>
      <c r="N57" s="120">
        <f t="shared" si="19"/>
        <v>214.3588810000002</v>
      </c>
      <c r="O57" s="120">
        <f t="shared" si="19"/>
        <v>235.79476910000022</v>
      </c>
      <c r="P57" s="124">
        <f t="shared" si="19"/>
        <v>259.37424601000026</v>
      </c>
      <c r="Q57" s="50"/>
      <c r="R57" s="50"/>
      <c r="S57" s="50"/>
      <c r="T57" s="50"/>
      <c r="U57" s="50"/>
      <c r="V57" s="50"/>
      <c r="W57" s="50"/>
      <c r="X57" s="50"/>
      <c r="Y57" s="50"/>
      <c r="Z57" s="50"/>
    </row>
    <row r="58" spans="1:26" ht="15.75" customHeight="1" x14ac:dyDescent="0.35">
      <c r="A58" s="50"/>
      <c r="B58" s="53" t="s">
        <v>99</v>
      </c>
      <c r="C58" s="54" t="s">
        <v>94</v>
      </c>
      <c r="D58" s="80">
        <f t="shared" ref="D58:F58" si="20">D17</f>
        <v>100</v>
      </c>
      <c r="E58" s="80">
        <f t="shared" si="20"/>
        <v>100</v>
      </c>
      <c r="F58" s="80">
        <f t="shared" si="20"/>
        <v>100</v>
      </c>
      <c r="G58" s="120">
        <f t="shared" ref="G58:P58" si="21">IFERROR(F58*(1+$D$26),"")</f>
        <v>110.00000000000001</v>
      </c>
      <c r="H58" s="120">
        <f t="shared" si="21"/>
        <v>121.00000000000003</v>
      </c>
      <c r="I58" s="120">
        <f t="shared" si="21"/>
        <v>133.10000000000005</v>
      </c>
      <c r="J58" s="120">
        <f t="shared" si="21"/>
        <v>146.41000000000008</v>
      </c>
      <c r="K58" s="120">
        <f t="shared" si="21"/>
        <v>161.0510000000001</v>
      </c>
      <c r="L58" s="120">
        <f t="shared" si="21"/>
        <v>177.15610000000012</v>
      </c>
      <c r="M58" s="120">
        <f t="shared" si="21"/>
        <v>194.87171000000015</v>
      </c>
      <c r="N58" s="120">
        <f t="shared" si="21"/>
        <v>214.3588810000002</v>
      </c>
      <c r="O58" s="120">
        <f t="shared" si="21"/>
        <v>235.79476910000022</v>
      </c>
      <c r="P58" s="124">
        <f t="shared" si="21"/>
        <v>259.37424601000026</v>
      </c>
      <c r="Q58" s="50"/>
      <c r="R58" s="50"/>
      <c r="S58" s="50"/>
      <c r="T58" s="50"/>
      <c r="U58" s="50"/>
      <c r="V58" s="50"/>
      <c r="W58" s="50"/>
      <c r="X58" s="50"/>
      <c r="Y58" s="50"/>
      <c r="Z58" s="50"/>
    </row>
    <row r="59" spans="1:26" ht="15.75" customHeight="1" x14ac:dyDescent="0.35">
      <c r="A59" s="50"/>
      <c r="B59" s="53" t="s">
        <v>100</v>
      </c>
      <c r="C59" s="54" t="s">
        <v>94</v>
      </c>
      <c r="D59" s="80">
        <f t="shared" ref="D59:F59" si="22">D18</f>
        <v>100</v>
      </c>
      <c r="E59" s="80">
        <f t="shared" si="22"/>
        <v>100</v>
      </c>
      <c r="F59" s="80">
        <f t="shared" si="22"/>
        <v>100</v>
      </c>
      <c r="G59" s="120">
        <f t="shared" ref="G59:P59" si="23">IFERROR(F59*(1+$D$26),"")</f>
        <v>110.00000000000001</v>
      </c>
      <c r="H59" s="120">
        <f t="shared" si="23"/>
        <v>121.00000000000003</v>
      </c>
      <c r="I59" s="120">
        <f t="shared" si="23"/>
        <v>133.10000000000005</v>
      </c>
      <c r="J59" s="120">
        <f t="shared" si="23"/>
        <v>146.41000000000008</v>
      </c>
      <c r="K59" s="120">
        <f t="shared" si="23"/>
        <v>161.0510000000001</v>
      </c>
      <c r="L59" s="120">
        <f t="shared" si="23"/>
        <v>177.15610000000012</v>
      </c>
      <c r="M59" s="120">
        <f t="shared" si="23"/>
        <v>194.87171000000015</v>
      </c>
      <c r="N59" s="120">
        <f t="shared" si="23"/>
        <v>214.3588810000002</v>
      </c>
      <c r="O59" s="120">
        <f t="shared" si="23"/>
        <v>235.79476910000022</v>
      </c>
      <c r="P59" s="124">
        <f t="shared" si="23"/>
        <v>259.37424601000026</v>
      </c>
      <c r="Q59" s="50"/>
      <c r="R59" s="50"/>
      <c r="S59" s="50"/>
      <c r="T59" s="50"/>
      <c r="U59" s="50"/>
      <c r="V59" s="50"/>
      <c r="W59" s="50"/>
      <c r="X59" s="50"/>
      <c r="Y59" s="50"/>
      <c r="Z59" s="50"/>
    </row>
    <row r="60" spans="1:26" ht="15.75" customHeight="1" x14ac:dyDescent="0.35">
      <c r="A60" s="50"/>
      <c r="B60" s="53" t="s">
        <v>101</v>
      </c>
      <c r="C60" s="54" t="s">
        <v>94</v>
      </c>
      <c r="D60" s="80">
        <f t="shared" ref="D60:F60" si="24">D19</f>
        <v>100</v>
      </c>
      <c r="E60" s="80">
        <f t="shared" si="24"/>
        <v>100</v>
      </c>
      <c r="F60" s="80">
        <f t="shared" si="24"/>
        <v>100</v>
      </c>
      <c r="G60" s="120">
        <f t="shared" ref="G60:P60" si="25">IFERROR(F60*(1+$D$26),"")</f>
        <v>110.00000000000001</v>
      </c>
      <c r="H60" s="120">
        <f t="shared" si="25"/>
        <v>121.00000000000003</v>
      </c>
      <c r="I60" s="120">
        <f t="shared" si="25"/>
        <v>133.10000000000005</v>
      </c>
      <c r="J60" s="120">
        <f t="shared" si="25"/>
        <v>146.41000000000008</v>
      </c>
      <c r="K60" s="120">
        <f t="shared" si="25"/>
        <v>161.0510000000001</v>
      </c>
      <c r="L60" s="120">
        <f t="shared" si="25"/>
        <v>177.15610000000012</v>
      </c>
      <c r="M60" s="120">
        <f t="shared" si="25"/>
        <v>194.87171000000015</v>
      </c>
      <c r="N60" s="120">
        <f t="shared" si="25"/>
        <v>214.3588810000002</v>
      </c>
      <c r="O60" s="120">
        <f t="shared" si="25"/>
        <v>235.79476910000022</v>
      </c>
      <c r="P60" s="124">
        <f t="shared" si="25"/>
        <v>259.37424601000026</v>
      </c>
      <c r="Q60" s="50"/>
      <c r="R60" s="50"/>
      <c r="S60" s="50"/>
      <c r="T60" s="50"/>
      <c r="U60" s="50"/>
      <c r="V60" s="50"/>
      <c r="W60" s="50"/>
      <c r="X60" s="50"/>
      <c r="Y60" s="50"/>
      <c r="Z60" s="50"/>
    </row>
    <row r="61" spans="1:26" ht="15.75" customHeight="1" x14ac:dyDescent="0.35">
      <c r="A61" s="50"/>
      <c r="B61" s="53" t="s">
        <v>102</v>
      </c>
      <c r="C61" s="54" t="s">
        <v>94</v>
      </c>
      <c r="D61" s="80">
        <f t="shared" ref="D61:F61" si="26">D20</f>
        <v>100</v>
      </c>
      <c r="E61" s="80">
        <f t="shared" si="26"/>
        <v>100</v>
      </c>
      <c r="F61" s="80">
        <f t="shared" si="26"/>
        <v>100</v>
      </c>
      <c r="G61" s="120">
        <f t="shared" ref="G61:P61" si="27">IFERROR(F61*(1+$D$26),"")</f>
        <v>110.00000000000001</v>
      </c>
      <c r="H61" s="120">
        <f t="shared" si="27"/>
        <v>121.00000000000003</v>
      </c>
      <c r="I61" s="120">
        <f t="shared" si="27"/>
        <v>133.10000000000005</v>
      </c>
      <c r="J61" s="120">
        <f t="shared" si="27"/>
        <v>146.41000000000008</v>
      </c>
      <c r="K61" s="120">
        <f t="shared" si="27"/>
        <v>161.0510000000001</v>
      </c>
      <c r="L61" s="120">
        <f t="shared" si="27"/>
        <v>177.15610000000012</v>
      </c>
      <c r="M61" s="120">
        <f t="shared" si="27"/>
        <v>194.87171000000015</v>
      </c>
      <c r="N61" s="120">
        <f t="shared" si="27"/>
        <v>214.3588810000002</v>
      </c>
      <c r="O61" s="120">
        <f t="shared" si="27"/>
        <v>235.79476910000022</v>
      </c>
      <c r="P61" s="124">
        <f t="shared" si="27"/>
        <v>259.37424601000026</v>
      </c>
      <c r="Q61" s="50"/>
      <c r="R61" s="50"/>
      <c r="S61" s="50"/>
      <c r="T61" s="50"/>
      <c r="U61" s="50"/>
      <c r="V61" s="50"/>
      <c r="W61" s="50"/>
      <c r="X61" s="50"/>
      <c r="Y61" s="50"/>
      <c r="Z61" s="50"/>
    </row>
    <row r="62" spans="1:26" ht="15.75" customHeight="1" x14ac:dyDescent="0.35">
      <c r="A62" s="237"/>
      <c r="B62" s="238" t="s">
        <v>65</v>
      </c>
      <c r="C62" s="54" t="s">
        <v>94</v>
      </c>
      <c r="D62" s="240">
        <f t="shared" ref="D62:P62" si="28">SUM(D53:D61)</f>
        <v>900</v>
      </c>
      <c r="E62" s="240">
        <f t="shared" si="28"/>
        <v>900</v>
      </c>
      <c r="F62" s="240">
        <f t="shared" si="28"/>
        <v>900</v>
      </c>
      <c r="G62" s="240">
        <f t="shared" si="28"/>
        <v>990.00000000000011</v>
      </c>
      <c r="H62" s="240">
        <f t="shared" si="28"/>
        <v>1089.0000000000002</v>
      </c>
      <c r="I62" s="240">
        <f t="shared" si="28"/>
        <v>1197.9000000000005</v>
      </c>
      <c r="J62" s="240">
        <f t="shared" si="28"/>
        <v>1317.6900000000007</v>
      </c>
      <c r="K62" s="240">
        <f t="shared" si="28"/>
        <v>1449.4590000000012</v>
      </c>
      <c r="L62" s="240">
        <f t="shared" si="28"/>
        <v>1594.4049000000011</v>
      </c>
      <c r="M62" s="240">
        <f t="shared" si="28"/>
        <v>1753.8453900000013</v>
      </c>
      <c r="N62" s="240">
        <f t="shared" si="28"/>
        <v>1929.2299290000014</v>
      </c>
      <c r="O62" s="240">
        <f t="shared" si="28"/>
        <v>2122.1529219000017</v>
      </c>
      <c r="P62" s="241">
        <f t="shared" si="28"/>
        <v>2334.3682140900023</v>
      </c>
      <c r="Q62" s="237"/>
      <c r="R62" s="237"/>
      <c r="S62" s="237"/>
      <c r="T62" s="237"/>
      <c r="U62" s="237"/>
      <c r="V62" s="237"/>
      <c r="W62" s="237"/>
      <c r="X62" s="237"/>
      <c r="Y62" s="237"/>
      <c r="Z62" s="237"/>
    </row>
    <row r="63" spans="1:26" ht="15.75" customHeight="1" x14ac:dyDescent="0.35">
      <c r="A63" s="50"/>
      <c r="B63" s="46" t="s">
        <v>278</v>
      </c>
      <c r="C63" s="47"/>
      <c r="D63" s="120"/>
      <c r="E63" s="120"/>
      <c r="F63" s="120"/>
      <c r="G63" s="120"/>
      <c r="H63" s="120"/>
      <c r="I63" s="120"/>
      <c r="J63" s="120"/>
      <c r="K63" s="120"/>
      <c r="L63" s="120"/>
      <c r="M63" s="120"/>
      <c r="N63" s="50"/>
      <c r="O63" s="50"/>
      <c r="P63" s="115"/>
      <c r="Q63" s="50"/>
      <c r="R63" s="50"/>
      <c r="S63" s="50"/>
      <c r="T63" s="50"/>
      <c r="U63" s="50"/>
      <c r="V63" s="50"/>
      <c r="W63" s="50"/>
      <c r="X63" s="50"/>
      <c r="Y63" s="50"/>
      <c r="Z63" s="50"/>
    </row>
    <row r="64" spans="1:26" ht="15.75" customHeight="1" x14ac:dyDescent="0.35">
      <c r="A64" s="50"/>
      <c r="B64" s="53" t="s">
        <v>93</v>
      </c>
      <c r="C64" s="63" t="s">
        <v>279</v>
      </c>
      <c r="D64" s="120">
        <f t="shared" ref="D64:P64" si="29">IFERROR(D45*D53,"")</f>
        <v>113.19999999999999</v>
      </c>
      <c r="E64" s="120">
        <f t="shared" si="29"/>
        <v>113.19999999999999</v>
      </c>
      <c r="F64" s="120">
        <f t="shared" si="29"/>
        <v>113.19999999999999</v>
      </c>
      <c r="G64" s="120">
        <f t="shared" si="29"/>
        <v>124.52000000000001</v>
      </c>
      <c r="H64" s="120">
        <f t="shared" si="29"/>
        <v>136.97200000000001</v>
      </c>
      <c r="I64" s="120">
        <f t="shared" si="29"/>
        <v>150.66920000000005</v>
      </c>
      <c r="J64" s="120">
        <f t="shared" si="29"/>
        <v>165.73612000000008</v>
      </c>
      <c r="K64" s="120">
        <f t="shared" si="29"/>
        <v>182.30973200000011</v>
      </c>
      <c r="L64" s="120">
        <f t="shared" si="29"/>
        <v>200.54070520000013</v>
      </c>
      <c r="M64" s="120">
        <f t="shared" si="29"/>
        <v>220.59477572000014</v>
      </c>
      <c r="N64" s="120">
        <f t="shared" si="29"/>
        <v>242.65425329200019</v>
      </c>
      <c r="O64" s="120">
        <f t="shared" si="29"/>
        <v>266.91967862120021</v>
      </c>
      <c r="P64" s="124">
        <f t="shared" si="29"/>
        <v>293.61164648332027</v>
      </c>
      <c r="Q64" s="50"/>
      <c r="R64" s="50"/>
      <c r="S64" s="50"/>
      <c r="T64" s="50"/>
      <c r="U64" s="50"/>
      <c r="V64" s="50"/>
      <c r="W64" s="50"/>
      <c r="X64" s="50"/>
      <c r="Y64" s="50"/>
      <c r="Z64" s="50"/>
    </row>
    <row r="65" spans="1:26" ht="15.75" customHeight="1" x14ac:dyDescent="0.35">
      <c r="A65" s="50"/>
      <c r="B65" s="53" t="s">
        <v>95</v>
      </c>
      <c r="C65" s="63" t="s">
        <v>279</v>
      </c>
      <c r="D65" s="120">
        <f t="shared" ref="D65:P65" si="30">IFERROR(D46*D54,"")</f>
        <v>113.19999999999999</v>
      </c>
      <c r="E65" s="120">
        <f t="shared" si="30"/>
        <v>113.19999999999999</v>
      </c>
      <c r="F65" s="120">
        <f t="shared" si="30"/>
        <v>113.19999999999999</v>
      </c>
      <c r="G65" s="120">
        <f t="shared" si="30"/>
        <v>124.52000000000001</v>
      </c>
      <c r="H65" s="120">
        <f t="shared" si="30"/>
        <v>136.97200000000001</v>
      </c>
      <c r="I65" s="120">
        <f t="shared" si="30"/>
        <v>150.66920000000005</v>
      </c>
      <c r="J65" s="120">
        <f t="shared" si="30"/>
        <v>165.73612000000008</v>
      </c>
      <c r="K65" s="120">
        <f t="shared" si="30"/>
        <v>182.30973200000011</v>
      </c>
      <c r="L65" s="120">
        <f t="shared" si="30"/>
        <v>200.54070520000013</v>
      </c>
      <c r="M65" s="120">
        <f t="shared" si="30"/>
        <v>220.59477572000014</v>
      </c>
      <c r="N65" s="120">
        <f t="shared" si="30"/>
        <v>242.65425329200019</v>
      </c>
      <c r="O65" s="120">
        <f t="shared" si="30"/>
        <v>266.91967862120021</v>
      </c>
      <c r="P65" s="124">
        <f t="shared" si="30"/>
        <v>293.61164648332027</v>
      </c>
      <c r="Q65" s="50"/>
      <c r="R65" s="50"/>
      <c r="S65" s="50"/>
      <c r="T65" s="50"/>
      <c r="U65" s="50"/>
      <c r="V65" s="50"/>
      <c r="W65" s="50"/>
      <c r="X65" s="50"/>
      <c r="Y65" s="50"/>
      <c r="Z65" s="50"/>
    </row>
    <row r="66" spans="1:26" ht="15.75" customHeight="1" x14ac:dyDescent="0.35">
      <c r="A66" s="50"/>
      <c r="B66" s="53" t="s">
        <v>96</v>
      </c>
      <c r="C66" s="63" t="s">
        <v>279</v>
      </c>
      <c r="D66" s="120">
        <f t="shared" ref="D66:P66" si="31">IFERROR(D47*D55,"")</f>
        <v>113.19999999999999</v>
      </c>
      <c r="E66" s="120">
        <f t="shared" si="31"/>
        <v>113.19999999999999</v>
      </c>
      <c r="F66" s="120">
        <f t="shared" si="31"/>
        <v>113.19999999999999</v>
      </c>
      <c r="G66" s="120">
        <f t="shared" si="31"/>
        <v>124.52000000000001</v>
      </c>
      <c r="H66" s="120">
        <f t="shared" si="31"/>
        <v>136.97200000000001</v>
      </c>
      <c r="I66" s="120">
        <f t="shared" si="31"/>
        <v>150.66920000000005</v>
      </c>
      <c r="J66" s="120">
        <f t="shared" si="31"/>
        <v>165.73612000000008</v>
      </c>
      <c r="K66" s="120">
        <f t="shared" si="31"/>
        <v>182.30973200000011</v>
      </c>
      <c r="L66" s="120">
        <f t="shared" si="31"/>
        <v>200.54070520000013</v>
      </c>
      <c r="M66" s="120">
        <f t="shared" si="31"/>
        <v>220.59477572000014</v>
      </c>
      <c r="N66" s="120">
        <f t="shared" si="31"/>
        <v>242.65425329200019</v>
      </c>
      <c r="O66" s="120">
        <f t="shared" si="31"/>
        <v>266.91967862120021</v>
      </c>
      <c r="P66" s="124">
        <f t="shared" si="31"/>
        <v>293.61164648332027</v>
      </c>
      <c r="Q66" s="50"/>
      <c r="R66" s="50"/>
      <c r="S66" s="50"/>
      <c r="T66" s="50"/>
      <c r="U66" s="50"/>
      <c r="V66" s="50"/>
      <c r="W66" s="50"/>
      <c r="X66" s="50"/>
      <c r="Y66" s="50"/>
      <c r="Z66" s="50"/>
    </row>
    <row r="67" spans="1:26" ht="15.75" customHeight="1" x14ac:dyDescent="0.35">
      <c r="A67" s="50"/>
      <c r="B67" s="53" t="s">
        <v>97</v>
      </c>
      <c r="C67" s="63" t="s">
        <v>279</v>
      </c>
      <c r="D67" s="120">
        <f t="shared" ref="D67:P67" si="32">IFERROR(D48*D56,"")</f>
        <v>113.19999999999999</v>
      </c>
      <c r="E67" s="120">
        <f t="shared" si="32"/>
        <v>113.19999999999999</v>
      </c>
      <c r="F67" s="120">
        <f t="shared" si="32"/>
        <v>113.19999999999999</v>
      </c>
      <c r="G67" s="120">
        <f t="shared" si="32"/>
        <v>124.52000000000001</v>
      </c>
      <c r="H67" s="120">
        <f t="shared" si="32"/>
        <v>136.97200000000001</v>
      </c>
      <c r="I67" s="120">
        <f t="shared" si="32"/>
        <v>150.66920000000005</v>
      </c>
      <c r="J67" s="120">
        <f t="shared" si="32"/>
        <v>165.73612000000008</v>
      </c>
      <c r="K67" s="120">
        <f t="shared" si="32"/>
        <v>182.30973200000011</v>
      </c>
      <c r="L67" s="120">
        <f t="shared" si="32"/>
        <v>200.54070520000013</v>
      </c>
      <c r="M67" s="120">
        <f t="shared" si="32"/>
        <v>220.59477572000014</v>
      </c>
      <c r="N67" s="120">
        <f t="shared" si="32"/>
        <v>242.65425329200019</v>
      </c>
      <c r="O67" s="120">
        <f t="shared" si="32"/>
        <v>266.91967862120021</v>
      </c>
      <c r="P67" s="124">
        <f t="shared" si="32"/>
        <v>293.61164648332027</v>
      </c>
      <c r="Q67" s="50"/>
      <c r="R67" s="50"/>
      <c r="S67" s="50"/>
      <c r="T67" s="50"/>
      <c r="U67" s="50"/>
      <c r="V67" s="50"/>
      <c r="W67" s="50"/>
      <c r="X67" s="50"/>
      <c r="Y67" s="50"/>
      <c r="Z67" s="50"/>
    </row>
    <row r="68" spans="1:26" ht="15.75" customHeight="1" x14ac:dyDescent="0.35">
      <c r="A68" s="50"/>
      <c r="B68" s="53" t="s">
        <v>98</v>
      </c>
      <c r="C68" s="63" t="s">
        <v>279</v>
      </c>
      <c r="D68" s="120">
        <f t="shared" ref="D68:P68" si="33">IFERROR(D49*D59,"")</f>
        <v>113.19999999999999</v>
      </c>
      <c r="E68" s="120">
        <f t="shared" si="33"/>
        <v>113.19999999999999</v>
      </c>
      <c r="F68" s="120">
        <f t="shared" si="33"/>
        <v>113.19999999999999</v>
      </c>
      <c r="G68" s="120">
        <f t="shared" si="33"/>
        <v>124.52000000000001</v>
      </c>
      <c r="H68" s="120">
        <f t="shared" si="33"/>
        <v>136.97200000000001</v>
      </c>
      <c r="I68" s="120">
        <f t="shared" si="33"/>
        <v>150.66920000000005</v>
      </c>
      <c r="J68" s="120">
        <f t="shared" si="33"/>
        <v>165.73612000000008</v>
      </c>
      <c r="K68" s="120">
        <f t="shared" si="33"/>
        <v>182.30973200000011</v>
      </c>
      <c r="L68" s="120">
        <f t="shared" si="33"/>
        <v>200.54070520000013</v>
      </c>
      <c r="M68" s="120">
        <f t="shared" si="33"/>
        <v>220.59477572000014</v>
      </c>
      <c r="N68" s="120">
        <f t="shared" si="33"/>
        <v>242.65425329200019</v>
      </c>
      <c r="O68" s="120">
        <f t="shared" si="33"/>
        <v>266.91967862120021</v>
      </c>
      <c r="P68" s="124">
        <f t="shared" si="33"/>
        <v>293.61164648332027</v>
      </c>
      <c r="Q68" s="50"/>
      <c r="R68" s="50"/>
      <c r="S68" s="50"/>
      <c r="T68" s="50"/>
      <c r="U68" s="50"/>
      <c r="V68" s="50"/>
      <c r="W68" s="50"/>
      <c r="X68" s="50"/>
      <c r="Y68" s="50"/>
      <c r="Z68" s="50"/>
    </row>
    <row r="69" spans="1:26" ht="15.75" customHeight="1" x14ac:dyDescent="0.35">
      <c r="A69" s="50"/>
      <c r="B69" s="53" t="s">
        <v>275</v>
      </c>
      <c r="C69" s="63" t="s">
        <v>279</v>
      </c>
      <c r="D69" s="120">
        <f t="shared" ref="D69:P69" si="34">IFERROR(D50*D60,"")</f>
        <v>113.19999999999999</v>
      </c>
      <c r="E69" s="120">
        <f t="shared" si="34"/>
        <v>113.19999999999999</v>
      </c>
      <c r="F69" s="120">
        <f t="shared" si="34"/>
        <v>113.19999999999999</v>
      </c>
      <c r="G69" s="120">
        <f t="shared" si="34"/>
        <v>124.52000000000001</v>
      </c>
      <c r="H69" s="120">
        <f t="shared" si="34"/>
        <v>136.97200000000001</v>
      </c>
      <c r="I69" s="120">
        <f t="shared" si="34"/>
        <v>150.66920000000005</v>
      </c>
      <c r="J69" s="120">
        <f t="shared" si="34"/>
        <v>165.73612000000008</v>
      </c>
      <c r="K69" s="120">
        <f t="shared" si="34"/>
        <v>182.30973200000011</v>
      </c>
      <c r="L69" s="120">
        <f t="shared" si="34"/>
        <v>200.54070520000013</v>
      </c>
      <c r="M69" s="120">
        <f t="shared" si="34"/>
        <v>220.59477572000014</v>
      </c>
      <c r="N69" s="120">
        <f t="shared" si="34"/>
        <v>242.65425329200019</v>
      </c>
      <c r="O69" s="120">
        <f t="shared" si="34"/>
        <v>266.91967862120021</v>
      </c>
      <c r="P69" s="124">
        <f t="shared" si="34"/>
        <v>293.61164648332027</v>
      </c>
      <c r="Q69" s="50"/>
      <c r="R69" s="50"/>
      <c r="S69" s="50"/>
      <c r="T69" s="50"/>
      <c r="U69" s="50"/>
      <c r="V69" s="50"/>
      <c r="W69" s="50"/>
      <c r="X69" s="50"/>
      <c r="Y69" s="50"/>
      <c r="Z69" s="50"/>
    </row>
    <row r="70" spans="1:26" ht="15.75" customHeight="1" x14ac:dyDescent="0.35">
      <c r="A70" s="50"/>
      <c r="B70" s="53" t="s">
        <v>276</v>
      </c>
      <c r="C70" s="63" t="s">
        <v>279</v>
      </c>
      <c r="D70" s="120">
        <f t="shared" ref="D70:P70" si="35">IFERROR(D51*D61,"")</f>
        <v>113.19999999999999</v>
      </c>
      <c r="E70" s="120">
        <f t="shared" si="35"/>
        <v>113.19999999999999</v>
      </c>
      <c r="F70" s="120">
        <f t="shared" si="35"/>
        <v>113.19999999999999</v>
      </c>
      <c r="G70" s="120">
        <f t="shared" si="35"/>
        <v>124.52000000000001</v>
      </c>
      <c r="H70" s="120">
        <f t="shared" si="35"/>
        <v>136.97200000000001</v>
      </c>
      <c r="I70" s="120">
        <f t="shared" si="35"/>
        <v>150.66920000000005</v>
      </c>
      <c r="J70" s="120">
        <f t="shared" si="35"/>
        <v>165.73612000000008</v>
      </c>
      <c r="K70" s="120">
        <f t="shared" si="35"/>
        <v>182.30973200000011</v>
      </c>
      <c r="L70" s="120">
        <f t="shared" si="35"/>
        <v>200.54070520000013</v>
      </c>
      <c r="M70" s="120">
        <f t="shared" si="35"/>
        <v>220.59477572000014</v>
      </c>
      <c r="N70" s="120">
        <f t="shared" si="35"/>
        <v>242.65425329200019</v>
      </c>
      <c r="O70" s="120">
        <f t="shared" si="35"/>
        <v>266.91967862120021</v>
      </c>
      <c r="P70" s="124">
        <f t="shared" si="35"/>
        <v>293.61164648332027</v>
      </c>
      <c r="Q70" s="50"/>
      <c r="R70" s="50"/>
      <c r="S70" s="50"/>
      <c r="T70" s="50"/>
      <c r="U70" s="50"/>
      <c r="V70" s="50"/>
      <c r="W70" s="50"/>
      <c r="X70" s="50"/>
      <c r="Y70" s="50"/>
      <c r="Z70" s="50"/>
    </row>
    <row r="71" spans="1:26" ht="15.75" customHeight="1" x14ac:dyDescent="0.35">
      <c r="A71" s="237"/>
      <c r="B71" s="238" t="s">
        <v>65</v>
      </c>
      <c r="C71" s="63" t="s">
        <v>279</v>
      </c>
      <c r="D71" s="240">
        <f t="shared" ref="D71:P71" si="36">SUM(D64:D70)</f>
        <v>792.40000000000009</v>
      </c>
      <c r="E71" s="240">
        <f t="shared" si="36"/>
        <v>792.40000000000009</v>
      </c>
      <c r="F71" s="240">
        <f t="shared" si="36"/>
        <v>792.40000000000009</v>
      </c>
      <c r="G71" s="240">
        <f t="shared" si="36"/>
        <v>871.64</v>
      </c>
      <c r="H71" s="240">
        <f t="shared" si="36"/>
        <v>958.80399999999997</v>
      </c>
      <c r="I71" s="240">
        <f t="shared" si="36"/>
        <v>1054.6844000000003</v>
      </c>
      <c r="J71" s="240">
        <f t="shared" si="36"/>
        <v>1160.1528400000004</v>
      </c>
      <c r="K71" s="240">
        <f t="shared" si="36"/>
        <v>1276.1681240000009</v>
      </c>
      <c r="L71" s="240">
        <f t="shared" si="36"/>
        <v>1403.7849364000008</v>
      </c>
      <c r="M71" s="240">
        <f t="shared" si="36"/>
        <v>1544.163430040001</v>
      </c>
      <c r="N71" s="240">
        <f t="shared" si="36"/>
        <v>1698.5797730440015</v>
      </c>
      <c r="O71" s="240">
        <f t="shared" si="36"/>
        <v>1868.4377503484011</v>
      </c>
      <c r="P71" s="241">
        <f t="shared" si="36"/>
        <v>2055.2815253832418</v>
      </c>
      <c r="Q71" s="244"/>
      <c r="R71" s="244"/>
      <c r="S71" s="237"/>
      <c r="T71" s="237"/>
      <c r="U71" s="237"/>
      <c r="V71" s="237"/>
      <c r="W71" s="237"/>
      <c r="X71" s="237"/>
      <c r="Y71" s="237"/>
      <c r="Z71" s="237"/>
    </row>
    <row r="72" spans="1:26" ht="15.75" customHeight="1" x14ac:dyDescent="0.35">
      <c r="A72" s="50"/>
      <c r="B72" s="46" t="s">
        <v>280</v>
      </c>
      <c r="C72" s="194"/>
      <c r="D72" s="245"/>
      <c r="E72" s="245"/>
      <c r="F72" s="245"/>
      <c r="G72" s="245"/>
      <c r="H72" s="245"/>
      <c r="I72" s="246"/>
      <c r="J72" s="246"/>
      <c r="K72" s="246"/>
      <c r="L72" s="246"/>
      <c r="M72" s="246"/>
      <c r="N72" s="246"/>
      <c r="O72" s="246"/>
      <c r="P72" s="247"/>
      <c r="Q72" s="50"/>
      <c r="R72" s="50"/>
      <c r="S72" s="50"/>
      <c r="T72" s="50"/>
      <c r="U72" s="50"/>
      <c r="V72" s="50"/>
      <c r="W72" s="50"/>
      <c r="X72" s="50"/>
      <c r="Y72" s="50"/>
      <c r="Z72" s="50"/>
    </row>
    <row r="73" spans="1:26" ht="15.75" customHeight="1" x14ac:dyDescent="0.35">
      <c r="A73" s="50"/>
      <c r="B73" s="53" t="s">
        <v>93</v>
      </c>
      <c r="C73" s="47" t="s">
        <v>202</v>
      </c>
      <c r="D73" s="248">
        <f t="shared" ref="D73:P73" si="37">$D$23</f>
        <v>0.3</v>
      </c>
      <c r="E73" s="248">
        <f t="shared" si="37"/>
        <v>0.3</v>
      </c>
      <c r="F73" s="248">
        <f t="shared" si="37"/>
        <v>0.3</v>
      </c>
      <c r="G73" s="248">
        <f t="shared" si="37"/>
        <v>0.3</v>
      </c>
      <c r="H73" s="248">
        <f t="shared" si="37"/>
        <v>0.3</v>
      </c>
      <c r="I73" s="248">
        <f t="shared" si="37"/>
        <v>0.3</v>
      </c>
      <c r="J73" s="248">
        <f t="shared" si="37"/>
        <v>0.3</v>
      </c>
      <c r="K73" s="248">
        <f t="shared" si="37"/>
        <v>0.3</v>
      </c>
      <c r="L73" s="248">
        <f t="shared" si="37"/>
        <v>0.3</v>
      </c>
      <c r="M73" s="248">
        <f t="shared" si="37"/>
        <v>0.3</v>
      </c>
      <c r="N73" s="248">
        <f t="shared" si="37"/>
        <v>0.3</v>
      </c>
      <c r="O73" s="248">
        <f t="shared" si="37"/>
        <v>0.3</v>
      </c>
      <c r="P73" s="249">
        <f t="shared" si="37"/>
        <v>0.3</v>
      </c>
      <c r="Q73" s="50"/>
      <c r="R73" s="50"/>
      <c r="S73" s="50"/>
      <c r="T73" s="50"/>
      <c r="U73" s="50"/>
      <c r="V73" s="50"/>
      <c r="W73" s="50"/>
      <c r="X73" s="50"/>
      <c r="Y73" s="50"/>
      <c r="Z73" s="50"/>
    </row>
    <row r="74" spans="1:26" ht="15.75" customHeight="1" x14ac:dyDescent="0.35">
      <c r="A74" s="50"/>
      <c r="B74" s="53" t="s">
        <v>95</v>
      </c>
      <c r="C74" s="47" t="s">
        <v>202</v>
      </c>
      <c r="D74" s="248">
        <f t="shared" ref="D74:P74" si="38">$D$23</f>
        <v>0.3</v>
      </c>
      <c r="E74" s="248">
        <f t="shared" si="38"/>
        <v>0.3</v>
      </c>
      <c r="F74" s="248">
        <f t="shared" si="38"/>
        <v>0.3</v>
      </c>
      <c r="G74" s="248">
        <f t="shared" si="38"/>
        <v>0.3</v>
      </c>
      <c r="H74" s="248">
        <f t="shared" si="38"/>
        <v>0.3</v>
      </c>
      <c r="I74" s="248">
        <f t="shared" si="38"/>
        <v>0.3</v>
      </c>
      <c r="J74" s="248">
        <f t="shared" si="38"/>
        <v>0.3</v>
      </c>
      <c r="K74" s="248">
        <f t="shared" si="38"/>
        <v>0.3</v>
      </c>
      <c r="L74" s="248">
        <f t="shared" si="38"/>
        <v>0.3</v>
      </c>
      <c r="M74" s="248">
        <f t="shared" si="38"/>
        <v>0.3</v>
      </c>
      <c r="N74" s="248">
        <f t="shared" si="38"/>
        <v>0.3</v>
      </c>
      <c r="O74" s="248">
        <f t="shared" si="38"/>
        <v>0.3</v>
      </c>
      <c r="P74" s="249">
        <f t="shared" si="38"/>
        <v>0.3</v>
      </c>
      <c r="Q74" s="50"/>
      <c r="R74" s="50"/>
      <c r="S74" s="50"/>
      <c r="T74" s="50"/>
      <c r="U74" s="50"/>
      <c r="V74" s="50"/>
      <c r="W74" s="50"/>
      <c r="X74" s="50"/>
      <c r="Y74" s="50"/>
      <c r="Z74" s="50"/>
    </row>
    <row r="75" spans="1:26" ht="15.75" customHeight="1" x14ac:dyDescent="0.35">
      <c r="A75" s="50"/>
      <c r="B75" s="53" t="s">
        <v>96</v>
      </c>
      <c r="C75" s="47" t="s">
        <v>202</v>
      </c>
      <c r="D75" s="248">
        <f t="shared" ref="D75:P75" si="39">$D$23</f>
        <v>0.3</v>
      </c>
      <c r="E75" s="248">
        <f t="shared" si="39"/>
        <v>0.3</v>
      </c>
      <c r="F75" s="248">
        <f t="shared" si="39"/>
        <v>0.3</v>
      </c>
      <c r="G75" s="248">
        <f t="shared" si="39"/>
        <v>0.3</v>
      </c>
      <c r="H75" s="248">
        <f t="shared" si="39"/>
        <v>0.3</v>
      </c>
      <c r="I75" s="248">
        <f t="shared" si="39"/>
        <v>0.3</v>
      </c>
      <c r="J75" s="248">
        <f t="shared" si="39"/>
        <v>0.3</v>
      </c>
      <c r="K75" s="248">
        <f t="shared" si="39"/>
        <v>0.3</v>
      </c>
      <c r="L75" s="248">
        <f t="shared" si="39"/>
        <v>0.3</v>
      </c>
      <c r="M75" s="248">
        <f t="shared" si="39"/>
        <v>0.3</v>
      </c>
      <c r="N75" s="248">
        <f t="shared" si="39"/>
        <v>0.3</v>
      </c>
      <c r="O75" s="248">
        <f t="shared" si="39"/>
        <v>0.3</v>
      </c>
      <c r="P75" s="249">
        <f t="shared" si="39"/>
        <v>0.3</v>
      </c>
      <c r="Q75" s="50"/>
      <c r="R75" s="50"/>
      <c r="S75" s="50"/>
      <c r="T75" s="50"/>
      <c r="U75" s="50"/>
      <c r="V75" s="50"/>
      <c r="W75" s="50"/>
      <c r="X75" s="50"/>
      <c r="Y75" s="50"/>
      <c r="Z75" s="50"/>
    </row>
    <row r="76" spans="1:26" ht="15.75" customHeight="1" x14ac:dyDescent="0.35">
      <c r="A76" s="50"/>
      <c r="B76" s="53" t="s">
        <v>97</v>
      </c>
      <c r="C76" s="47" t="s">
        <v>202</v>
      </c>
      <c r="D76" s="248">
        <f t="shared" ref="D76:P76" si="40">$D$23</f>
        <v>0.3</v>
      </c>
      <c r="E76" s="248">
        <f t="shared" si="40"/>
        <v>0.3</v>
      </c>
      <c r="F76" s="248">
        <f t="shared" si="40"/>
        <v>0.3</v>
      </c>
      <c r="G76" s="248">
        <f t="shared" si="40"/>
        <v>0.3</v>
      </c>
      <c r="H76" s="248">
        <f t="shared" si="40"/>
        <v>0.3</v>
      </c>
      <c r="I76" s="248">
        <f t="shared" si="40"/>
        <v>0.3</v>
      </c>
      <c r="J76" s="248">
        <f t="shared" si="40"/>
        <v>0.3</v>
      </c>
      <c r="K76" s="248">
        <f t="shared" si="40"/>
        <v>0.3</v>
      </c>
      <c r="L76" s="248">
        <f t="shared" si="40"/>
        <v>0.3</v>
      </c>
      <c r="M76" s="248">
        <f t="shared" si="40"/>
        <v>0.3</v>
      </c>
      <c r="N76" s="248">
        <f t="shared" si="40"/>
        <v>0.3</v>
      </c>
      <c r="O76" s="248">
        <f t="shared" si="40"/>
        <v>0.3</v>
      </c>
      <c r="P76" s="249">
        <f t="shared" si="40"/>
        <v>0.3</v>
      </c>
      <c r="Q76" s="50"/>
      <c r="R76" s="50"/>
      <c r="S76" s="50"/>
      <c r="T76" s="50"/>
      <c r="U76" s="50"/>
      <c r="V76" s="50"/>
      <c r="W76" s="50"/>
      <c r="X76" s="50"/>
      <c r="Y76" s="50"/>
      <c r="Z76" s="50"/>
    </row>
    <row r="77" spans="1:26" ht="15.75" customHeight="1" x14ac:dyDescent="0.35">
      <c r="A77" s="50"/>
      <c r="B77" s="53" t="s">
        <v>98</v>
      </c>
      <c r="C77" s="47" t="s">
        <v>202</v>
      </c>
      <c r="D77" s="248">
        <f t="shared" ref="D77:P77" si="41">$D$23</f>
        <v>0.3</v>
      </c>
      <c r="E77" s="248">
        <f t="shared" si="41"/>
        <v>0.3</v>
      </c>
      <c r="F77" s="248">
        <f t="shared" si="41"/>
        <v>0.3</v>
      </c>
      <c r="G77" s="248">
        <f t="shared" si="41"/>
        <v>0.3</v>
      </c>
      <c r="H77" s="248">
        <f t="shared" si="41"/>
        <v>0.3</v>
      </c>
      <c r="I77" s="248">
        <f t="shared" si="41"/>
        <v>0.3</v>
      </c>
      <c r="J77" s="248">
        <f t="shared" si="41"/>
        <v>0.3</v>
      </c>
      <c r="K77" s="248">
        <f t="shared" si="41"/>
        <v>0.3</v>
      </c>
      <c r="L77" s="248">
        <f t="shared" si="41"/>
        <v>0.3</v>
      </c>
      <c r="M77" s="248">
        <f t="shared" si="41"/>
        <v>0.3</v>
      </c>
      <c r="N77" s="248">
        <f t="shared" si="41"/>
        <v>0.3</v>
      </c>
      <c r="O77" s="248">
        <f t="shared" si="41"/>
        <v>0.3</v>
      </c>
      <c r="P77" s="249">
        <f t="shared" si="41"/>
        <v>0.3</v>
      </c>
      <c r="Q77" s="50"/>
      <c r="R77" s="50"/>
      <c r="S77" s="50"/>
      <c r="T77" s="50"/>
      <c r="U77" s="50"/>
      <c r="V77" s="50"/>
      <c r="W77" s="50"/>
      <c r="X77" s="50"/>
      <c r="Y77" s="50"/>
      <c r="Z77" s="50"/>
    </row>
    <row r="78" spans="1:26" ht="15.75" customHeight="1" x14ac:dyDescent="0.35">
      <c r="A78" s="50"/>
      <c r="B78" s="53" t="s">
        <v>275</v>
      </c>
      <c r="C78" s="47" t="s">
        <v>202</v>
      </c>
      <c r="D78" s="248">
        <f t="shared" ref="D78:P78" si="42">$D$23</f>
        <v>0.3</v>
      </c>
      <c r="E78" s="248">
        <f t="shared" si="42"/>
        <v>0.3</v>
      </c>
      <c r="F78" s="248">
        <f t="shared" si="42"/>
        <v>0.3</v>
      </c>
      <c r="G78" s="248">
        <f t="shared" si="42"/>
        <v>0.3</v>
      </c>
      <c r="H78" s="248">
        <f t="shared" si="42"/>
        <v>0.3</v>
      </c>
      <c r="I78" s="248">
        <f t="shared" si="42"/>
        <v>0.3</v>
      </c>
      <c r="J78" s="248">
        <f t="shared" si="42"/>
        <v>0.3</v>
      </c>
      <c r="K78" s="248">
        <f t="shared" si="42"/>
        <v>0.3</v>
      </c>
      <c r="L78" s="248">
        <f t="shared" si="42"/>
        <v>0.3</v>
      </c>
      <c r="M78" s="248">
        <f t="shared" si="42"/>
        <v>0.3</v>
      </c>
      <c r="N78" s="248">
        <f t="shared" si="42"/>
        <v>0.3</v>
      </c>
      <c r="O78" s="248">
        <f t="shared" si="42"/>
        <v>0.3</v>
      </c>
      <c r="P78" s="249">
        <f t="shared" si="42"/>
        <v>0.3</v>
      </c>
      <c r="Q78" s="50"/>
      <c r="R78" s="50"/>
      <c r="S78" s="50"/>
      <c r="T78" s="50"/>
      <c r="U78" s="50"/>
      <c r="V78" s="50"/>
      <c r="W78" s="50"/>
      <c r="X78" s="50"/>
      <c r="Y78" s="50"/>
      <c r="Z78" s="50"/>
    </row>
    <row r="79" spans="1:26" ht="15.75" customHeight="1" x14ac:dyDescent="0.35">
      <c r="A79" s="50"/>
      <c r="B79" s="53" t="s">
        <v>276</v>
      </c>
      <c r="C79" s="47" t="s">
        <v>202</v>
      </c>
      <c r="D79" s="248">
        <f t="shared" ref="D79:P79" si="43">$D$23</f>
        <v>0.3</v>
      </c>
      <c r="E79" s="248">
        <f t="shared" si="43"/>
        <v>0.3</v>
      </c>
      <c r="F79" s="248">
        <f t="shared" si="43"/>
        <v>0.3</v>
      </c>
      <c r="G79" s="248">
        <f t="shared" si="43"/>
        <v>0.3</v>
      </c>
      <c r="H79" s="248">
        <f t="shared" si="43"/>
        <v>0.3</v>
      </c>
      <c r="I79" s="248">
        <f t="shared" si="43"/>
        <v>0.3</v>
      </c>
      <c r="J79" s="248">
        <f t="shared" si="43"/>
        <v>0.3</v>
      </c>
      <c r="K79" s="248">
        <f t="shared" si="43"/>
        <v>0.3</v>
      </c>
      <c r="L79" s="248">
        <f t="shared" si="43"/>
        <v>0.3</v>
      </c>
      <c r="M79" s="248">
        <f t="shared" si="43"/>
        <v>0.3</v>
      </c>
      <c r="N79" s="248">
        <f t="shared" si="43"/>
        <v>0.3</v>
      </c>
      <c r="O79" s="248">
        <f t="shared" si="43"/>
        <v>0.3</v>
      </c>
      <c r="P79" s="249">
        <f t="shared" si="43"/>
        <v>0.3</v>
      </c>
      <c r="Q79" s="50"/>
      <c r="R79" s="50"/>
      <c r="S79" s="50"/>
      <c r="T79" s="50"/>
      <c r="U79" s="50"/>
      <c r="V79" s="50"/>
      <c r="W79" s="50"/>
      <c r="X79" s="50"/>
      <c r="Y79" s="50"/>
      <c r="Z79" s="50"/>
    </row>
    <row r="80" spans="1:26" ht="15.75" customHeight="1" x14ac:dyDescent="0.35">
      <c r="A80" s="50"/>
      <c r="B80" s="46" t="s">
        <v>280</v>
      </c>
      <c r="C80" s="194"/>
      <c r="D80" s="245"/>
      <c r="E80" s="245"/>
      <c r="F80" s="245"/>
      <c r="G80" s="245"/>
      <c r="H80" s="245"/>
      <c r="I80" s="245"/>
      <c r="J80" s="245"/>
      <c r="K80" s="245"/>
      <c r="L80" s="245"/>
      <c r="M80" s="245"/>
      <c r="N80" s="245"/>
      <c r="O80" s="245"/>
      <c r="P80" s="250"/>
      <c r="Q80" s="50"/>
      <c r="R80" s="50"/>
      <c r="S80" s="50"/>
      <c r="T80" s="50"/>
      <c r="U80" s="50"/>
      <c r="V80" s="50"/>
      <c r="W80" s="50"/>
      <c r="X80" s="50"/>
      <c r="Y80" s="50"/>
      <c r="Z80" s="50"/>
    </row>
    <row r="81" spans="1:26" ht="15.75" customHeight="1" x14ac:dyDescent="0.35">
      <c r="A81" s="50"/>
      <c r="B81" s="53" t="s">
        <v>93</v>
      </c>
      <c r="C81" s="194"/>
      <c r="D81" s="121">
        <f t="shared" ref="D81:P81" si="44">IFERROR(D64*D73,"")</f>
        <v>33.959999999999994</v>
      </c>
      <c r="E81" s="121">
        <f t="shared" si="44"/>
        <v>33.959999999999994</v>
      </c>
      <c r="F81" s="121">
        <f t="shared" si="44"/>
        <v>33.959999999999994</v>
      </c>
      <c r="G81" s="121">
        <f t="shared" si="44"/>
        <v>37.356000000000002</v>
      </c>
      <c r="H81" s="121">
        <f t="shared" si="44"/>
        <v>41.0916</v>
      </c>
      <c r="I81" s="121">
        <f t="shared" si="44"/>
        <v>45.20076000000001</v>
      </c>
      <c r="J81" s="121">
        <f t="shared" si="44"/>
        <v>49.720836000000027</v>
      </c>
      <c r="K81" s="121">
        <f t="shared" si="44"/>
        <v>54.692919600000032</v>
      </c>
      <c r="L81" s="121">
        <f t="shared" si="44"/>
        <v>60.162211560000038</v>
      </c>
      <c r="M81" s="121">
        <f t="shared" si="44"/>
        <v>66.178432716000046</v>
      </c>
      <c r="N81" s="121">
        <f t="shared" si="44"/>
        <v>72.796275987600055</v>
      </c>
      <c r="O81" s="121">
        <f t="shared" si="44"/>
        <v>80.075903586360056</v>
      </c>
      <c r="P81" s="251">
        <f t="shared" si="44"/>
        <v>88.083493944996079</v>
      </c>
      <c r="Q81" s="50"/>
      <c r="R81" s="50"/>
      <c r="S81" s="50"/>
      <c r="T81" s="50"/>
      <c r="U81" s="50"/>
      <c r="V81" s="50"/>
      <c r="W81" s="50"/>
      <c r="X81" s="50"/>
      <c r="Y81" s="50"/>
      <c r="Z81" s="50"/>
    </row>
    <row r="82" spans="1:26" ht="15.75" customHeight="1" x14ac:dyDescent="0.35">
      <c r="A82" s="50"/>
      <c r="B82" s="53" t="s">
        <v>95</v>
      </c>
      <c r="C82" s="194"/>
      <c r="D82" s="121">
        <f t="shared" ref="D82:P82" si="45">IFERROR(D65*D74,"")</f>
        <v>33.959999999999994</v>
      </c>
      <c r="E82" s="121">
        <f t="shared" si="45"/>
        <v>33.959999999999994</v>
      </c>
      <c r="F82" s="121">
        <f t="shared" si="45"/>
        <v>33.959999999999994</v>
      </c>
      <c r="G82" s="121">
        <f t="shared" si="45"/>
        <v>37.356000000000002</v>
      </c>
      <c r="H82" s="121">
        <f t="shared" si="45"/>
        <v>41.0916</v>
      </c>
      <c r="I82" s="121">
        <f t="shared" si="45"/>
        <v>45.20076000000001</v>
      </c>
      <c r="J82" s="121">
        <f t="shared" si="45"/>
        <v>49.720836000000027</v>
      </c>
      <c r="K82" s="121">
        <f t="shared" si="45"/>
        <v>54.692919600000032</v>
      </c>
      <c r="L82" s="121">
        <f t="shared" si="45"/>
        <v>60.162211560000038</v>
      </c>
      <c r="M82" s="121">
        <f t="shared" si="45"/>
        <v>66.178432716000046</v>
      </c>
      <c r="N82" s="121">
        <f t="shared" si="45"/>
        <v>72.796275987600055</v>
      </c>
      <c r="O82" s="121">
        <f t="shared" si="45"/>
        <v>80.075903586360056</v>
      </c>
      <c r="P82" s="251">
        <f t="shared" si="45"/>
        <v>88.083493944996079</v>
      </c>
      <c r="Q82" s="50"/>
      <c r="R82" s="50"/>
      <c r="S82" s="50"/>
      <c r="T82" s="50"/>
      <c r="U82" s="50"/>
      <c r="V82" s="50"/>
      <c r="W82" s="50"/>
      <c r="X82" s="50"/>
      <c r="Y82" s="50"/>
      <c r="Z82" s="50"/>
    </row>
    <row r="83" spans="1:26" ht="15.75" customHeight="1" x14ac:dyDescent="0.35">
      <c r="A83" s="50"/>
      <c r="B83" s="53" t="s">
        <v>96</v>
      </c>
      <c r="C83" s="194"/>
      <c r="D83" s="121">
        <f t="shared" ref="D83:P83" si="46">IFERROR(D66*D75,"")</f>
        <v>33.959999999999994</v>
      </c>
      <c r="E83" s="121">
        <f t="shared" si="46"/>
        <v>33.959999999999994</v>
      </c>
      <c r="F83" s="121">
        <f t="shared" si="46"/>
        <v>33.959999999999994</v>
      </c>
      <c r="G83" s="121">
        <f t="shared" si="46"/>
        <v>37.356000000000002</v>
      </c>
      <c r="H83" s="121">
        <f t="shared" si="46"/>
        <v>41.0916</v>
      </c>
      <c r="I83" s="121">
        <f t="shared" si="46"/>
        <v>45.20076000000001</v>
      </c>
      <c r="J83" s="121">
        <f t="shared" si="46"/>
        <v>49.720836000000027</v>
      </c>
      <c r="K83" s="121">
        <f t="shared" si="46"/>
        <v>54.692919600000032</v>
      </c>
      <c r="L83" s="121">
        <f t="shared" si="46"/>
        <v>60.162211560000038</v>
      </c>
      <c r="M83" s="121">
        <f t="shared" si="46"/>
        <v>66.178432716000046</v>
      </c>
      <c r="N83" s="121">
        <f t="shared" si="46"/>
        <v>72.796275987600055</v>
      </c>
      <c r="O83" s="121">
        <f t="shared" si="46"/>
        <v>80.075903586360056</v>
      </c>
      <c r="P83" s="251">
        <f t="shared" si="46"/>
        <v>88.083493944996079</v>
      </c>
      <c r="Q83" s="50"/>
      <c r="R83" s="50"/>
      <c r="S83" s="50"/>
      <c r="T83" s="50"/>
      <c r="U83" s="50"/>
      <c r="V83" s="50"/>
      <c r="W83" s="50"/>
      <c r="X83" s="50"/>
      <c r="Y83" s="50"/>
      <c r="Z83" s="50"/>
    </row>
    <row r="84" spans="1:26" ht="15.75" customHeight="1" x14ac:dyDescent="0.35">
      <c r="A84" s="50"/>
      <c r="B84" s="53" t="s">
        <v>97</v>
      </c>
      <c r="C84" s="194"/>
      <c r="D84" s="121">
        <f t="shared" ref="D84:P84" si="47">IFERROR(D67*D76,"")</f>
        <v>33.959999999999994</v>
      </c>
      <c r="E84" s="121">
        <f t="shared" si="47"/>
        <v>33.959999999999994</v>
      </c>
      <c r="F84" s="121">
        <f t="shared" si="47"/>
        <v>33.959999999999994</v>
      </c>
      <c r="G84" s="121">
        <f t="shared" si="47"/>
        <v>37.356000000000002</v>
      </c>
      <c r="H84" s="121">
        <f t="shared" si="47"/>
        <v>41.0916</v>
      </c>
      <c r="I84" s="121">
        <f t="shared" si="47"/>
        <v>45.20076000000001</v>
      </c>
      <c r="J84" s="121">
        <f t="shared" si="47"/>
        <v>49.720836000000027</v>
      </c>
      <c r="K84" s="121">
        <f t="shared" si="47"/>
        <v>54.692919600000032</v>
      </c>
      <c r="L84" s="121">
        <f t="shared" si="47"/>
        <v>60.162211560000038</v>
      </c>
      <c r="M84" s="121">
        <f t="shared" si="47"/>
        <v>66.178432716000046</v>
      </c>
      <c r="N84" s="121">
        <f t="shared" si="47"/>
        <v>72.796275987600055</v>
      </c>
      <c r="O84" s="121">
        <f t="shared" si="47"/>
        <v>80.075903586360056</v>
      </c>
      <c r="P84" s="251">
        <f t="shared" si="47"/>
        <v>88.083493944996079</v>
      </c>
      <c r="Q84" s="50"/>
      <c r="R84" s="50"/>
      <c r="S84" s="50"/>
      <c r="T84" s="50"/>
      <c r="U84" s="50"/>
      <c r="V84" s="50"/>
      <c r="W84" s="50"/>
      <c r="X84" s="50"/>
      <c r="Y84" s="50"/>
      <c r="Z84" s="50"/>
    </row>
    <row r="85" spans="1:26" ht="15.75" customHeight="1" x14ac:dyDescent="0.35">
      <c r="A85" s="50"/>
      <c r="B85" s="53" t="s">
        <v>98</v>
      </c>
      <c r="C85" s="194"/>
      <c r="D85" s="121">
        <f t="shared" ref="D85:P85" si="48">IFERROR(D68*D77,"")</f>
        <v>33.959999999999994</v>
      </c>
      <c r="E85" s="121">
        <f t="shared" si="48"/>
        <v>33.959999999999994</v>
      </c>
      <c r="F85" s="121">
        <f t="shared" si="48"/>
        <v>33.959999999999994</v>
      </c>
      <c r="G85" s="121">
        <f t="shared" si="48"/>
        <v>37.356000000000002</v>
      </c>
      <c r="H85" s="121">
        <f t="shared" si="48"/>
        <v>41.0916</v>
      </c>
      <c r="I85" s="121">
        <f t="shared" si="48"/>
        <v>45.20076000000001</v>
      </c>
      <c r="J85" s="121">
        <f t="shared" si="48"/>
        <v>49.720836000000027</v>
      </c>
      <c r="K85" s="121">
        <f t="shared" si="48"/>
        <v>54.692919600000032</v>
      </c>
      <c r="L85" s="121">
        <f t="shared" si="48"/>
        <v>60.162211560000038</v>
      </c>
      <c r="M85" s="121">
        <f t="shared" si="48"/>
        <v>66.178432716000046</v>
      </c>
      <c r="N85" s="121">
        <f t="shared" si="48"/>
        <v>72.796275987600055</v>
      </c>
      <c r="O85" s="121">
        <f t="shared" si="48"/>
        <v>80.075903586360056</v>
      </c>
      <c r="P85" s="251">
        <f t="shared" si="48"/>
        <v>88.083493944996079</v>
      </c>
      <c r="Q85" s="50"/>
      <c r="R85" s="50"/>
      <c r="S85" s="50"/>
      <c r="T85" s="50"/>
      <c r="U85" s="50"/>
      <c r="V85" s="50"/>
      <c r="W85" s="50"/>
      <c r="X85" s="50"/>
      <c r="Y85" s="50"/>
      <c r="Z85" s="50"/>
    </row>
    <row r="86" spans="1:26" ht="15.75" customHeight="1" x14ac:dyDescent="0.35">
      <c r="A86" s="50"/>
      <c r="B86" s="53" t="s">
        <v>275</v>
      </c>
      <c r="C86" s="194"/>
      <c r="D86" s="121">
        <f t="shared" ref="D86:P86" si="49">IFERROR(D69*D78,"")</f>
        <v>33.959999999999994</v>
      </c>
      <c r="E86" s="121">
        <f t="shared" si="49"/>
        <v>33.959999999999994</v>
      </c>
      <c r="F86" s="121">
        <f t="shared" si="49"/>
        <v>33.959999999999994</v>
      </c>
      <c r="G86" s="121">
        <f t="shared" si="49"/>
        <v>37.356000000000002</v>
      </c>
      <c r="H86" s="121">
        <f t="shared" si="49"/>
        <v>41.0916</v>
      </c>
      <c r="I86" s="121">
        <f t="shared" si="49"/>
        <v>45.20076000000001</v>
      </c>
      <c r="J86" s="121">
        <f t="shared" si="49"/>
        <v>49.720836000000027</v>
      </c>
      <c r="K86" s="121">
        <f t="shared" si="49"/>
        <v>54.692919600000032</v>
      </c>
      <c r="L86" s="121">
        <f t="shared" si="49"/>
        <v>60.162211560000038</v>
      </c>
      <c r="M86" s="121">
        <f t="shared" si="49"/>
        <v>66.178432716000046</v>
      </c>
      <c r="N86" s="121">
        <f t="shared" si="49"/>
        <v>72.796275987600055</v>
      </c>
      <c r="O86" s="121">
        <f t="shared" si="49"/>
        <v>80.075903586360056</v>
      </c>
      <c r="P86" s="251">
        <f t="shared" si="49"/>
        <v>88.083493944996079</v>
      </c>
      <c r="Q86" s="50"/>
      <c r="R86" s="50"/>
      <c r="S86" s="50"/>
      <c r="T86" s="50"/>
      <c r="U86" s="50"/>
      <c r="V86" s="50"/>
      <c r="W86" s="50"/>
      <c r="X86" s="50"/>
      <c r="Y86" s="50"/>
      <c r="Z86" s="50"/>
    </row>
    <row r="87" spans="1:26" ht="15.75" customHeight="1" x14ac:dyDescent="0.35">
      <c r="A87" s="50"/>
      <c r="B87" s="53" t="s">
        <v>276</v>
      </c>
      <c r="C87" s="194"/>
      <c r="D87" s="121">
        <f t="shared" ref="D87:P87" si="50">IFERROR(D70*D79,"")</f>
        <v>33.959999999999994</v>
      </c>
      <c r="E87" s="121">
        <f t="shared" si="50"/>
        <v>33.959999999999994</v>
      </c>
      <c r="F87" s="121">
        <f t="shared" si="50"/>
        <v>33.959999999999994</v>
      </c>
      <c r="G87" s="121">
        <f t="shared" si="50"/>
        <v>37.356000000000002</v>
      </c>
      <c r="H87" s="121">
        <f t="shared" si="50"/>
        <v>41.0916</v>
      </c>
      <c r="I87" s="121">
        <f t="shared" si="50"/>
        <v>45.20076000000001</v>
      </c>
      <c r="J87" s="121">
        <f t="shared" si="50"/>
        <v>49.720836000000027</v>
      </c>
      <c r="K87" s="121">
        <f t="shared" si="50"/>
        <v>54.692919600000032</v>
      </c>
      <c r="L87" s="121">
        <f t="shared" si="50"/>
        <v>60.162211560000038</v>
      </c>
      <c r="M87" s="121">
        <f t="shared" si="50"/>
        <v>66.178432716000046</v>
      </c>
      <c r="N87" s="121">
        <f t="shared" si="50"/>
        <v>72.796275987600055</v>
      </c>
      <c r="O87" s="121">
        <f t="shared" si="50"/>
        <v>80.075903586360056</v>
      </c>
      <c r="P87" s="251">
        <f t="shared" si="50"/>
        <v>88.083493944996079</v>
      </c>
      <c r="Q87" s="50"/>
      <c r="R87" s="50"/>
      <c r="S87" s="50"/>
      <c r="T87" s="50"/>
      <c r="U87" s="50"/>
      <c r="V87" s="50"/>
      <c r="W87" s="50"/>
      <c r="X87" s="50"/>
      <c r="Y87" s="50"/>
      <c r="Z87" s="50"/>
    </row>
    <row r="88" spans="1:26" ht="15.75" customHeight="1" x14ac:dyDescent="0.35">
      <c r="A88" s="237"/>
      <c r="B88" s="238" t="s">
        <v>65</v>
      </c>
      <c r="C88" s="239"/>
      <c r="D88" s="252">
        <f t="shared" ref="D88:P88" si="51">SUM(D81:D87)</f>
        <v>237.71999999999991</v>
      </c>
      <c r="E88" s="252">
        <f t="shared" si="51"/>
        <v>237.71999999999991</v>
      </c>
      <c r="F88" s="252">
        <f t="shared" si="51"/>
        <v>237.71999999999991</v>
      </c>
      <c r="G88" s="252">
        <f t="shared" si="51"/>
        <v>261.49200000000002</v>
      </c>
      <c r="H88" s="252">
        <f t="shared" si="51"/>
        <v>287.64120000000003</v>
      </c>
      <c r="I88" s="252">
        <f t="shared" si="51"/>
        <v>316.40532000000007</v>
      </c>
      <c r="J88" s="252">
        <f t="shared" si="51"/>
        <v>348.0458520000002</v>
      </c>
      <c r="K88" s="252">
        <f t="shared" si="51"/>
        <v>382.85043720000021</v>
      </c>
      <c r="L88" s="252">
        <f t="shared" si="51"/>
        <v>421.1354809200003</v>
      </c>
      <c r="M88" s="252">
        <f t="shared" si="51"/>
        <v>463.24902901200028</v>
      </c>
      <c r="N88" s="252">
        <f t="shared" si="51"/>
        <v>509.57393191320034</v>
      </c>
      <c r="O88" s="252">
        <f t="shared" si="51"/>
        <v>560.53132510452031</v>
      </c>
      <c r="P88" s="253">
        <f t="shared" si="51"/>
        <v>616.58445761497262</v>
      </c>
      <c r="Q88" s="237"/>
      <c r="R88" s="237"/>
      <c r="S88" s="237"/>
      <c r="T88" s="237"/>
      <c r="U88" s="237"/>
      <c r="V88" s="237"/>
      <c r="W88" s="237"/>
      <c r="X88" s="237"/>
      <c r="Y88" s="237"/>
      <c r="Z88" s="237"/>
    </row>
    <row r="89" spans="1:26" ht="15.75" customHeight="1" x14ac:dyDescent="0.35">
      <c r="A89" s="50"/>
      <c r="B89" s="131" t="s">
        <v>137</v>
      </c>
      <c r="C89" s="132" t="s">
        <v>138</v>
      </c>
      <c r="D89" s="133">
        <f t="array" ref="D89">NPV(D30,D88:P88)</f>
        <v>3323.3719469220018</v>
      </c>
      <c r="E89" s="134"/>
      <c r="F89" s="134"/>
      <c r="G89" s="134"/>
      <c r="H89" s="134"/>
      <c r="I89" s="134"/>
      <c r="J89" s="134"/>
      <c r="K89" s="134"/>
      <c r="L89" s="134"/>
      <c r="M89" s="134"/>
      <c r="N89" s="134"/>
      <c r="O89" s="134"/>
      <c r="P89" s="136"/>
      <c r="Q89" s="50"/>
      <c r="R89" s="50"/>
      <c r="S89" s="50"/>
      <c r="T89" s="50"/>
      <c r="U89" s="50"/>
      <c r="V89" s="50"/>
      <c r="W89" s="50"/>
      <c r="X89" s="50"/>
      <c r="Y89" s="50"/>
      <c r="Z89" s="50"/>
    </row>
    <row r="90" spans="1:26" ht="15.75" customHeight="1" x14ac:dyDescent="0.35">
      <c r="A90" s="50"/>
      <c r="B90" s="50"/>
      <c r="C90" s="63"/>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35">
      <c r="A91" s="50"/>
      <c r="B91" s="35" t="s">
        <v>55</v>
      </c>
      <c r="C91" s="36"/>
      <c r="D91" s="565" t="s">
        <v>129</v>
      </c>
      <c r="E91" s="552"/>
      <c r="F91" s="553"/>
      <c r="G91" s="112" t="s">
        <v>130</v>
      </c>
      <c r="H91" s="38" t="e">
        <f t="shared" ref="H91:P91" si="52">+G91+1</f>
        <v>#VALUE!</v>
      </c>
      <c r="I91" s="38" t="e">
        <f t="shared" si="52"/>
        <v>#VALUE!</v>
      </c>
      <c r="J91" s="38" t="e">
        <f t="shared" si="52"/>
        <v>#VALUE!</v>
      </c>
      <c r="K91" s="38" t="e">
        <f t="shared" si="52"/>
        <v>#VALUE!</v>
      </c>
      <c r="L91" s="38" t="e">
        <f t="shared" si="52"/>
        <v>#VALUE!</v>
      </c>
      <c r="M91" s="38" t="e">
        <f t="shared" si="52"/>
        <v>#VALUE!</v>
      </c>
      <c r="N91" s="38" t="e">
        <f t="shared" si="52"/>
        <v>#VALUE!</v>
      </c>
      <c r="O91" s="38" t="e">
        <f t="shared" si="52"/>
        <v>#VALUE!</v>
      </c>
      <c r="P91" s="39" t="e">
        <f t="shared" si="52"/>
        <v>#VALUE!</v>
      </c>
      <c r="Q91" s="50"/>
      <c r="R91" s="50"/>
      <c r="S91" s="50"/>
      <c r="T91" s="50"/>
      <c r="U91" s="50"/>
      <c r="V91" s="50"/>
      <c r="W91" s="50"/>
      <c r="X91" s="50"/>
      <c r="Y91" s="50"/>
      <c r="Z91" s="50"/>
    </row>
    <row r="92" spans="1:26" ht="15.75" customHeight="1" x14ac:dyDescent="0.35">
      <c r="A92" s="50"/>
      <c r="B92" s="40"/>
      <c r="C92" s="41"/>
      <c r="D92" s="159">
        <f>D34</f>
        <v>1</v>
      </c>
      <c r="E92" s="159">
        <f>+D92+1</f>
        <v>2</v>
      </c>
      <c r="F92" s="159">
        <f t="shared" ref="F92:P92" si="53">E92+1</f>
        <v>3</v>
      </c>
      <c r="G92" s="159">
        <f t="shared" si="53"/>
        <v>4</v>
      </c>
      <c r="H92" s="159">
        <f t="shared" si="53"/>
        <v>5</v>
      </c>
      <c r="I92" s="159">
        <f t="shared" si="53"/>
        <v>6</v>
      </c>
      <c r="J92" s="159">
        <f t="shared" si="53"/>
        <v>7</v>
      </c>
      <c r="K92" s="159">
        <f t="shared" si="53"/>
        <v>8</v>
      </c>
      <c r="L92" s="159">
        <f t="shared" si="53"/>
        <v>9</v>
      </c>
      <c r="M92" s="159">
        <f t="shared" si="53"/>
        <v>10</v>
      </c>
      <c r="N92" s="159">
        <f t="shared" si="53"/>
        <v>11</v>
      </c>
      <c r="O92" s="159">
        <f t="shared" si="53"/>
        <v>12</v>
      </c>
      <c r="P92" s="160">
        <f t="shared" si="53"/>
        <v>13</v>
      </c>
      <c r="Q92" s="50"/>
      <c r="R92" s="50"/>
      <c r="S92" s="50"/>
      <c r="T92" s="50"/>
      <c r="U92" s="50"/>
      <c r="V92" s="50"/>
      <c r="W92" s="50"/>
      <c r="X92" s="50"/>
      <c r="Y92" s="50"/>
      <c r="Z92" s="50"/>
    </row>
    <row r="93" spans="1:26" ht="15.75" customHeight="1" x14ac:dyDescent="0.35">
      <c r="A93" s="50"/>
      <c r="B93" s="46" t="s">
        <v>259</v>
      </c>
      <c r="C93" s="65"/>
      <c r="D93" s="123"/>
      <c r="E93" s="123"/>
      <c r="F93" s="123"/>
      <c r="G93" s="50"/>
      <c r="H93" s="50"/>
      <c r="I93" s="50"/>
      <c r="J93" s="50"/>
      <c r="K93" s="50"/>
      <c r="L93" s="50"/>
      <c r="M93" s="50"/>
      <c r="N93" s="50"/>
      <c r="O93" s="50"/>
      <c r="P93" s="115"/>
      <c r="Q93" s="50"/>
      <c r="R93" s="50"/>
      <c r="S93" s="50"/>
      <c r="T93" s="50"/>
      <c r="U93" s="50"/>
      <c r="V93" s="50"/>
      <c r="W93" s="50"/>
      <c r="X93" s="50"/>
      <c r="Y93" s="50"/>
      <c r="Z93" s="50"/>
    </row>
    <row r="94" spans="1:26" ht="15.75" customHeight="1" x14ac:dyDescent="0.35">
      <c r="A94" s="50"/>
      <c r="B94" s="53" t="s">
        <v>93</v>
      </c>
      <c r="C94" s="54" t="s">
        <v>94</v>
      </c>
      <c r="D94" s="120">
        <f t="shared" ref="D94:P94" si="54">D53</f>
        <v>100</v>
      </c>
      <c r="E94" s="120">
        <f t="shared" si="54"/>
        <v>100</v>
      </c>
      <c r="F94" s="120">
        <f t="shared" si="54"/>
        <v>100</v>
      </c>
      <c r="G94" s="120">
        <f t="shared" si="54"/>
        <v>110.00000000000001</v>
      </c>
      <c r="H94" s="120">
        <f t="shared" si="54"/>
        <v>121.00000000000003</v>
      </c>
      <c r="I94" s="120">
        <f t="shared" si="54"/>
        <v>133.10000000000005</v>
      </c>
      <c r="J94" s="120">
        <f t="shared" si="54"/>
        <v>146.41000000000008</v>
      </c>
      <c r="K94" s="120">
        <f t="shared" si="54"/>
        <v>161.0510000000001</v>
      </c>
      <c r="L94" s="120">
        <f t="shared" si="54"/>
        <v>177.15610000000012</v>
      </c>
      <c r="M94" s="120">
        <f t="shared" si="54"/>
        <v>194.87171000000015</v>
      </c>
      <c r="N94" s="120">
        <f t="shared" si="54"/>
        <v>214.3588810000002</v>
      </c>
      <c r="O94" s="120">
        <f t="shared" si="54"/>
        <v>235.79476910000022</v>
      </c>
      <c r="P94" s="124">
        <f t="shared" si="54"/>
        <v>259.37424601000026</v>
      </c>
      <c r="Q94" s="50"/>
      <c r="R94" s="50"/>
      <c r="S94" s="50"/>
      <c r="T94" s="50"/>
      <c r="U94" s="50"/>
      <c r="V94" s="50"/>
      <c r="W94" s="50"/>
      <c r="X94" s="50"/>
      <c r="Y94" s="50"/>
      <c r="Z94" s="50"/>
    </row>
    <row r="95" spans="1:26" ht="15.75" customHeight="1" x14ac:dyDescent="0.35">
      <c r="A95" s="50"/>
      <c r="B95" s="53" t="s">
        <v>95</v>
      </c>
      <c r="C95" s="54" t="s">
        <v>94</v>
      </c>
      <c r="D95" s="120">
        <f t="shared" ref="D95:P95" si="55">D54</f>
        <v>100</v>
      </c>
      <c r="E95" s="120">
        <f t="shared" si="55"/>
        <v>100</v>
      </c>
      <c r="F95" s="120">
        <f t="shared" si="55"/>
        <v>100</v>
      </c>
      <c r="G95" s="120">
        <f t="shared" si="55"/>
        <v>110.00000000000001</v>
      </c>
      <c r="H95" s="120">
        <f t="shared" si="55"/>
        <v>121.00000000000003</v>
      </c>
      <c r="I95" s="120">
        <f t="shared" si="55"/>
        <v>133.10000000000005</v>
      </c>
      <c r="J95" s="120">
        <f t="shared" si="55"/>
        <v>146.41000000000008</v>
      </c>
      <c r="K95" s="120">
        <f t="shared" si="55"/>
        <v>161.0510000000001</v>
      </c>
      <c r="L95" s="120">
        <f t="shared" si="55"/>
        <v>177.15610000000012</v>
      </c>
      <c r="M95" s="120">
        <f t="shared" si="55"/>
        <v>194.87171000000015</v>
      </c>
      <c r="N95" s="120">
        <f t="shared" si="55"/>
        <v>214.3588810000002</v>
      </c>
      <c r="O95" s="120">
        <f t="shared" si="55"/>
        <v>235.79476910000022</v>
      </c>
      <c r="P95" s="124">
        <f t="shared" si="55"/>
        <v>259.37424601000026</v>
      </c>
      <c r="Q95" s="50"/>
      <c r="R95" s="50"/>
      <c r="S95" s="50"/>
      <c r="T95" s="50"/>
      <c r="U95" s="50"/>
      <c r="V95" s="50"/>
      <c r="W95" s="50"/>
      <c r="X95" s="50"/>
      <c r="Y95" s="50"/>
      <c r="Z95" s="50"/>
    </row>
    <row r="96" spans="1:26" ht="15.75" customHeight="1" x14ac:dyDescent="0.35">
      <c r="A96" s="50"/>
      <c r="B96" s="53" t="s">
        <v>96</v>
      </c>
      <c r="C96" s="54" t="s">
        <v>94</v>
      </c>
      <c r="D96" s="120">
        <f t="shared" ref="D96:P96" si="56">D55</f>
        <v>100</v>
      </c>
      <c r="E96" s="120">
        <f t="shared" si="56"/>
        <v>100</v>
      </c>
      <c r="F96" s="120">
        <f t="shared" si="56"/>
        <v>100</v>
      </c>
      <c r="G96" s="120">
        <f t="shared" si="56"/>
        <v>110.00000000000001</v>
      </c>
      <c r="H96" s="120">
        <f t="shared" si="56"/>
        <v>121.00000000000003</v>
      </c>
      <c r="I96" s="120">
        <f t="shared" si="56"/>
        <v>133.10000000000005</v>
      </c>
      <c r="J96" s="120">
        <f t="shared" si="56"/>
        <v>146.41000000000008</v>
      </c>
      <c r="K96" s="120">
        <f t="shared" si="56"/>
        <v>161.0510000000001</v>
      </c>
      <c r="L96" s="120">
        <f t="shared" si="56"/>
        <v>177.15610000000012</v>
      </c>
      <c r="M96" s="120">
        <f t="shared" si="56"/>
        <v>194.87171000000015</v>
      </c>
      <c r="N96" s="120">
        <f t="shared" si="56"/>
        <v>214.3588810000002</v>
      </c>
      <c r="O96" s="120">
        <f t="shared" si="56"/>
        <v>235.79476910000022</v>
      </c>
      <c r="P96" s="124">
        <f t="shared" si="56"/>
        <v>259.37424601000026</v>
      </c>
      <c r="Q96" s="50"/>
      <c r="R96" s="50"/>
      <c r="S96" s="50"/>
      <c r="T96" s="50"/>
      <c r="U96" s="50"/>
      <c r="V96" s="50"/>
      <c r="W96" s="50"/>
      <c r="X96" s="50"/>
      <c r="Y96" s="50"/>
      <c r="Z96" s="50"/>
    </row>
    <row r="97" spans="1:26" ht="15.75" customHeight="1" x14ac:dyDescent="0.35">
      <c r="A97" s="50"/>
      <c r="B97" s="53" t="s">
        <v>97</v>
      </c>
      <c r="C97" s="54" t="s">
        <v>94</v>
      </c>
      <c r="D97" s="120">
        <f t="shared" ref="D97:P97" si="57">D56</f>
        <v>100</v>
      </c>
      <c r="E97" s="120">
        <f t="shared" si="57"/>
        <v>100</v>
      </c>
      <c r="F97" s="120">
        <f t="shared" si="57"/>
        <v>100</v>
      </c>
      <c r="G97" s="120">
        <f t="shared" si="57"/>
        <v>110.00000000000001</v>
      </c>
      <c r="H97" s="120">
        <f t="shared" si="57"/>
        <v>121.00000000000003</v>
      </c>
      <c r="I97" s="120">
        <f t="shared" si="57"/>
        <v>133.10000000000005</v>
      </c>
      <c r="J97" s="120">
        <f t="shared" si="57"/>
        <v>146.41000000000008</v>
      </c>
      <c r="K97" s="120">
        <f t="shared" si="57"/>
        <v>161.0510000000001</v>
      </c>
      <c r="L97" s="120">
        <f t="shared" si="57"/>
        <v>177.15610000000012</v>
      </c>
      <c r="M97" s="120">
        <f t="shared" si="57"/>
        <v>194.87171000000015</v>
      </c>
      <c r="N97" s="120">
        <f t="shared" si="57"/>
        <v>214.3588810000002</v>
      </c>
      <c r="O97" s="120">
        <f t="shared" si="57"/>
        <v>235.79476910000022</v>
      </c>
      <c r="P97" s="124">
        <f t="shared" si="57"/>
        <v>259.37424601000026</v>
      </c>
      <c r="Q97" s="50"/>
      <c r="R97" s="50"/>
      <c r="S97" s="50"/>
      <c r="T97" s="50"/>
      <c r="U97" s="50"/>
      <c r="V97" s="50"/>
      <c r="W97" s="50"/>
      <c r="X97" s="50"/>
      <c r="Y97" s="50"/>
      <c r="Z97" s="50"/>
    </row>
    <row r="98" spans="1:26" ht="15.75" customHeight="1" x14ac:dyDescent="0.35">
      <c r="A98" s="50"/>
      <c r="B98" s="53" t="s">
        <v>98</v>
      </c>
      <c r="C98" s="54" t="s">
        <v>94</v>
      </c>
      <c r="D98" s="120">
        <f t="shared" ref="D98:P98" si="58">D59</f>
        <v>100</v>
      </c>
      <c r="E98" s="120">
        <f t="shared" si="58"/>
        <v>100</v>
      </c>
      <c r="F98" s="120">
        <f t="shared" si="58"/>
        <v>100</v>
      </c>
      <c r="G98" s="120">
        <f t="shared" si="58"/>
        <v>110.00000000000001</v>
      </c>
      <c r="H98" s="120">
        <f t="shared" si="58"/>
        <v>121.00000000000003</v>
      </c>
      <c r="I98" s="120">
        <f t="shared" si="58"/>
        <v>133.10000000000005</v>
      </c>
      <c r="J98" s="120">
        <f t="shared" si="58"/>
        <v>146.41000000000008</v>
      </c>
      <c r="K98" s="120">
        <f t="shared" si="58"/>
        <v>161.0510000000001</v>
      </c>
      <c r="L98" s="120">
        <f t="shared" si="58"/>
        <v>177.15610000000012</v>
      </c>
      <c r="M98" s="120">
        <f t="shared" si="58"/>
        <v>194.87171000000015</v>
      </c>
      <c r="N98" s="120">
        <f t="shared" si="58"/>
        <v>214.3588810000002</v>
      </c>
      <c r="O98" s="120">
        <f t="shared" si="58"/>
        <v>235.79476910000022</v>
      </c>
      <c r="P98" s="124">
        <f t="shared" si="58"/>
        <v>259.37424601000026</v>
      </c>
      <c r="Q98" s="50"/>
      <c r="R98" s="50"/>
      <c r="S98" s="50"/>
      <c r="T98" s="50"/>
      <c r="U98" s="50"/>
      <c r="V98" s="50"/>
      <c r="W98" s="50"/>
      <c r="X98" s="50"/>
      <c r="Y98" s="50"/>
      <c r="Z98" s="50"/>
    </row>
    <row r="99" spans="1:26" ht="15.75" customHeight="1" x14ac:dyDescent="0.35">
      <c r="A99" s="50"/>
      <c r="B99" s="53" t="s">
        <v>275</v>
      </c>
      <c r="C99" s="54" t="s">
        <v>94</v>
      </c>
      <c r="D99" s="120">
        <f t="shared" ref="D99:P99" si="59">D60</f>
        <v>100</v>
      </c>
      <c r="E99" s="120">
        <f t="shared" si="59"/>
        <v>100</v>
      </c>
      <c r="F99" s="120">
        <f t="shared" si="59"/>
        <v>100</v>
      </c>
      <c r="G99" s="120">
        <f t="shared" si="59"/>
        <v>110.00000000000001</v>
      </c>
      <c r="H99" s="120">
        <f t="shared" si="59"/>
        <v>121.00000000000003</v>
      </c>
      <c r="I99" s="120">
        <f t="shared" si="59"/>
        <v>133.10000000000005</v>
      </c>
      <c r="J99" s="120">
        <f t="shared" si="59"/>
        <v>146.41000000000008</v>
      </c>
      <c r="K99" s="120">
        <f t="shared" si="59"/>
        <v>161.0510000000001</v>
      </c>
      <c r="L99" s="120">
        <f t="shared" si="59"/>
        <v>177.15610000000012</v>
      </c>
      <c r="M99" s="120">
        <f t="shared" si="59"/>
        <v>194.87171000000015</v>
      </c>
      <c r="N99" s="120">
        <f t="shared" si="59"/>
        <v>214.3588810000002</v>
      </c>
      <c r="O99" s="120">
        <f t="shared" si="59"/>
        <v>235.79476910000022</v>
      </c>
      <c r="P99" s="124">
        <f t="shared" si="59"/>
        <v>259.37424601000026</v>
      </c>
      <c r="Q99" s="50"/>
      <c r="R99" s="50"/>
      <c r="S99" s="50"/>
      <c r="T99" s="50"/>
      <c r="U99" s="50"/>
      <c r="V99" s="50"/>
      <c r="W99" s="50"/>
      <c r="X99" s="50"/>
      <c r="Y99" s="50"/>
      <c r="Z99" s="50"/>
    </row>
    <row r="100" spans="1:26" ht="15.75" customHeight="1" x14ac:dyDescent="0.35">
      <c r="A100" s="50"/>
      <c r="B100" s="53" t="s">
        <v>276</v>
      </c>
      <c r="C100" s="54" t="s">
        <v>94</v>
      </c>
      <c r="D100" s="120">
        <f t="shared" ref="D100:P100" si="60">D61</f>
        <v>100</v>
      </c>
      <c r="E100" s="120">
        <f t="shared" si="60"/>
        <v>100</v>
      </c>
      <c r="F100" s="120">
        <f t="shared" si="60"/>
        <v>100</v>
      </c>
      <c r="G100" s="120">
        <f t="shared" si="60"/>
        <v>110.00000000000001</v>
      </c>
      <c r="H100" s="120">
        <f t="shared" si="60"/>
        <v>121.00000000000003</v>
      </c>
      <c r="I100" s="120">
        <f t="shared" si="60"/>
        <v>133.10000000000005</v>
      </c>
      <c r="J100" s="120">
        <f t="shared" si="60"/>
        <v>146.41000000000008</v>
      </c>
      <c r="K100" s="120">
        <f t="shared" si="60"/>
        <v>161.0510000000001</v>
      </c>
      <c r="L100" s="120">
        <f t="shared" si="60"/>
        <v>177.15610000000012</v>
      </c>
      <c r="M100" s="120">
        <f t="shared" si="60"/>
        <v>194.87171000000015</v>
      </c>
      <c r="N100" s="120">
        <f t="shared" si="60"/>
        <v>214.3588810000002</v>
      </c>
      <c r="O100" s="120">
        <f t="shared" si="60"/>
        <v>235.79476910000022</v>
      </c>
      <c r="P100" s="124">
        <f t="shared" si="60"/>
        <v>259.37424601000026</v>
      </c>
      <c r="Q100" s="50"/>
      <c r="R100" s="50"/>
      <c r="S100" s="50"/>
      <c r="T100" s="50"/>
      <c r="U100" s="50"/>
      <c r="V100" s="50"/>
      <c r="W100" s="50"/>
      <c r="X100" s="50"/>
      <c r="Y100" s="50"/>
      <c r="Z100" s="50"/>
    </row>
    <row r="101" spans="1:26" ht="15.75" customHeight="1" x14ac:dyDescent="0.35">
      <c r="A101" s="50"/>
      <c r="B101" s="254" t="s">
        <v>65</v>
      </c>
      <c r="C101" s="194"/>
      <c r="D101" s="245">
        <f t="shared" ref="D101:P101" si="61">SUM(D94:D100)</f>
        <v>700</v>
      </c>
      <c r="E101" s="245">
        <f t="shared" si="61"/>
        <v>700</v>
      </c>
      <c r="F101" s="245">
        <f t="shared" si="61"/>
        <v>700</v>
      </c>
      <c r="G101" s="245">
        <f t="shared" si="61"/>
        <v>770.00000000000011</v>
      </c>
      <c r="H101" s="245">
        <f t="shared" si="61"/>
        <v>847.00000000000011</v>
      </c>
      <c r="I101" s="245">
        <f t="shared" si="61"/>
        <v>931.70000000000027</v>
      </c>
      <c r="J101" s="245">
        <f t="shared" si="61"/>
        <v>1024.8700000000006</v>
      </c>
      <c r="K101" s="245">
        <f t="shared" si="61"/>
        <v>1127.3570000000009</v>
      </c>
      <c r="L101" s="245">
        <f t="shared" si="61"/>
        <v>1240.0927000000008</v>
      </c>
      <c r="M101" s="245">
        <f t="shared" si="61"/>
        <v>1364.1019700000011</v>
      </c>
      <c r="N101" s="245">
        <f t="shared" si="61"/>
        <v>1500.5121670000012</v>
      </c>
      <c r="O101" s="245">
        <f t="shared" si="61"/>
        <v>1650.5633837000014</v>
      </c>
      <c r="P101" s="250">
        <f t="shared" si="61"/>
        <v>1815.6197220700017</v>
      </c>
      <c r="Q101" s="50"/>
      <c r="R101" s="50"/>
      <c r="S101" s="50"/>
      <c r="T101" s="50"/>
      <c r="U101" s="50"/>
      <c r="V101" s="50"/>
      <c r="W101" s="50"/>
      <c r="X101" s="50"/>
      <c r="Y101" s="50"/>
      <c r="Z101" s="50"/>
    </row>
    <row r="102" spans="1:26" ht="15.75" customHeight="1" x14ac:dyDescent="0.35">
      <c r="A102" s="50"/>
      <c r="B102" s="46" t="s">
        <v>281</v>
      </c>
      <c r="C102" s="47"/>
      <c r="D102" s="120"/>
      <c r="E102" s="120"/>
      <c r="F102" s="120"/>
      <c r="G102" s="120"/>
      <c r="H102" s="120"/>
      <c r="I102" s="120"/>
      <c r="J102" s="120"/>
      <c r="K102" s="120"/>
      <c r="L102" s="120"/>
      <c r="M102" s="120"/>
      <c r="N102" s="50"/>
      <c r="O102" s="50"/>
      <c r="P102" s="115"/>
      <c r="Q102" s="50"/>
      <c r="R102" s="50"/>
      <c r="S102" s="50"/>
      <c r="T102" s="50"/>
      <c r="U102" s="50"/>
      <c r="V102" s="50"/>
      <c r="W102" s="50"/>
      <c r="X102" s="50"/>
      <c r="Y102" s="50"/>
      <c r="Z102" s="50"/>
    </row>
    <row r="103" spans="1:26" ht="15.75" customHeight="1" x14ac:dyDescent="0.35">
      <c r="A103" s="50"/>
      <c r="B103" s="53" t="s">
        <v>93</v>
      </c>
      <c r="C103" s="63" t="s">
        <v>202</v>
      </c>
      <c r="D103" s="255">
        <f t="shared" ref="D103:P103" si="62">$D$24</f>
        <v>0.25</v>
      </c>
      <c r="E103" s="255">
        <f t="shared" si="62"/>
        <v>0.25</v>
      </c>
      <c r="F103" s="255">
        <f t="shared" si="62"/>
        <v>0.25</v>
      </c>
      <c r="G103" s="255">
        <f t="shared" si="62"/>
        <v>0.25</v>
      </c>
      <c r="H103" s="255">
        <f t="shared" si="62"/>
        <v>0.25</v>
      </c>
      <c r="I103" s="255">
        <f t="shared" si="62"/>
        <v>0.25</v>
      </c>
      <c r="J103" s="255">
        <f t="shared" si="62"/>
        <v>0.25</v>
      </c>
      <c r="K103" s="255">
        <f t="shared" si="62"/>
        <v>0.25</v>
      </c>
      <c r="L103" s="255">
        <f t="shared" si="62"/>
        <v>0.25</v>
      </c>
      <c r="M103" s="255">
        <f t="shared" si="62"/>
        <v>0.25</v>
      </c>
      <c r="N103" s="255">
        <f t="shared" si="62"/>
        <v>0.25</v>
      </c>
      <c r="O103" s="255">
        <f t="shared" si="62"/>
        <v>0.25</v>
      </c>
      <c r="P103" s="256">
        <f t="shared" si="62"/>
        <v>0.25</v>
      </c>
      <c r="Q103" s="50"/>
      <c r="R103" s="50"/>
      <c r="S103" s="50"/>
      <c r="T103" s="50"/>
      <c r="U103" s="50"/>
      <c r="V103" s="50"/>
      <c r="W103" s="50"/>
      <c r="X103" s="50"/>
      <c r="Y103" s="50"/>
      <c r="Z103" s="50"/>
    </row>
    <row r="104" spans="1:26" ht="15.75" customHeight="1" x14ac:dyDescent="0.35">
      <c r="A104" s="50"/>
      <c r="B104" s="53" t="s">
        <v>95</v>
      </c>
      <c r="C104" s="63" t="s">
        <v>202</v>
      </c>
      <c r="D104" s="255">
        <f t="shared" ref="D104:P104" si="63">$D$24</f>
        <v>0.25</v>
      </c>
      <c r="E104" s="255">
        <f t="shared" si="63"/>
        <v>0.25</v>
      </c>
      <c r="F104" s="255">
        <f t="shared" si="63"/>
        <v>0.25</v>
      </c>
      <c r="G104" s="255">
        <f t="shared" si="63"/>
        <v>0.25</v>
      </c>
      <c r="H104" s="255">
        <f t="shared" si="63"/>
        <v>0.25</v>
      </c>
      <c r="I104" s="255">
        <f t="shared" si="63"/>
        <v>0.25</v>
      </c>
      <c r="J104" s="255">
        <f t="shared" si="63"/>
        <v>0.25</v>
      </c>
      <c r="K104" s="255">
        <f t="shared" si="63"/>
        <v>0.25</v>
      </c>
      <c r="L104" s="255">
        <f t="shared" si="63"/>
        <v>0.25</v>
      </c>
      <c r="M104" s="255">
        <f t="shared" si="63"/>
        <v>0.25</v>
      </c>
      <c r="N104" s="255">
        <f t="shared" si="63"/>
        <v>0.25</v>
      </c>
      <c r="O104" s="255">
        <f t="shared" si="63"/>
        <v>0.25</v>
      </c>
      <c r="P104" s="256">
        <f t="shared" si="63"/>
        <v>0.25</v>
      </c>
      <c r="Q104" s="50"/>
      <c r="R104" s="50"/>
      <c r="S104" s="50"/>
      <c r="T104" s="50"/>
      <c r="U104" s="50"/>
      <c r="V104" s="50"/>
      <c r="W104" s="50"/>
      <c r="X104" s="50"/>
      <c r="Y104" s="50"/>
      <c r="Z104" s="50"/>
    </row>
    <row r="105" spans="1:26" ht="15.75" customHeight="1" x14ac:dyDescent="0.35">
      <c r="A105" s="50"/>
      <c r="B105" s="53" t="s">
        <v>96</v>
      </c>
      <c r="C105" s="63" t="s">
        <v>202</v>
      </c>
      <c r="D105" s="255">
        <f t="shared" ref="D105:P105" si="64">$D$24</f>
        <v>0.25</v>
      </c>
      <c r="E105" s="255">
        <f t="shared" si="64"/>
        <v>0.25</v>
      </c>
      <c r="F105" s="255">
        <f t="shared" si="64"/>
        <v>0.25</v>
      </c>
      <c r="G105" s="255">
        <f t="shared" si="64"/>
        <v>0.25</v>
      </c>
      <c r="H105" s="255">
        <f t="shared" si="64"/>
        <v>0.25</v>
      </c>
      <c r="I105" s="255">
        <f t="shared" si="64"/>
        <v>0.25</v>
      </c>
      <c r="J105" s="255">
        <f t="shared" si="64"/>
        <v>0.25</v>
      </c>
      <c r="K105" s="255">
        <f t="shared" si="64"/>
        <v>0.25</v>
      </c>
      <c r="L105" s="255">
        <f t="shared" si="64"/>
        <v>0.25</v>
      </c>
      <c r="M105" s="255">
        <f t="shared" si="64"/>
        <v>0.25</v>
      </c>
      <c r="N105" s="255">
        <f t="shared" si="64"/>
        <v>0.25</v>
      </c>
      <c r="O105" s="255">
        <f t="shared" si="64"/>
        <v>0.25</v>
      </c>
      <c r="P105" s="256">
        <f t="shared" si="64"/>
        <v>0.25</v>
      </c>
      <c r="Q105" s="50"/>
      <c r="R105" s="50"/>
      <c r="S105" s="50"/>
      <c r="T105" s="50"/>
      <c r="U105" s="50"/>
      <c r="V105" s="50"/>
      <c r="W105" s="50"/>
      <c r="X105" s="50"/>
      <c r="Y105" s="50"/>
      <c r="Z105" s="50"/>
    </row>
    <row r="106" spans="1:26" ht="15.75" customHeight="1" x14ac:dyDescent="0.35">
      <c r="A106" s="50"/>
      <c r="B106" s="53" t="s">
        <v>97</v>
      </c>
      <c r="C106" s="63" t="s">
        <v>202</v>
      </c>
      <c r="D106" s="255">
        <f t="shared" ref="D106:P106" si="65">$D$24</f>
        <v>0.25</v>
      </c>
      <c r="E106" s="255">
        <f t="shared" si="65"/>
        <v>0.25</v>
      </c>
      <c r="F106" s="255">
        <f t="shared" si="65"/>
        <v>0.25</v>
      </c>
      <c r="G106" s="255">
        <f t="shared" si="65"/>
        <v>0.25</v>
      </c>
      <c r="H106" s="255">
        <f t="shared" si="65"/>
        <v>0.25</v>
      </c>
      <c r="I106" s="255">
        <f t="shared" si="65"/>
        <v>0.25</v>
      </c>
      <c r="J106" s="255">
        <f t="shared" si="65"/>
        <v>0.25</v>
      </c>
      <c r="K106" s="255">
        <f t="shared" si="65"/>
        <v>0.25</v>
      </c>
      <c r="L106" s="255">
        <f t="shared" si="65"/>
        <v>0.25</v>
      </c>
      <c r="M106" s="255">
        <f t="shared" si="65"/>
        <v>0.25</v>
      </c>
      <c r="N106" s="255">
        <f t="shared" si="65"/>
        <v>0.25</v>
      </c>
      <c r="O106" s="255">
        <f t="shared" si="65"/>
        <v>0.25</v>
      </c>
      <c r="P106" s="256">
        <f t="shared" si="65"/>
        <v>0.25</v>
      </c>
      <c r="Q106" s="50"/>
      <c r="R106" s="50"/>
      <c r="S106" s="50"/>
      <c r="T106" s="50"/>
      <c r="U106" s="50"/>
      <c r="V106" s="50"/>
      <c r="W106" s="50"/>
      <c r="X106" s="50"/>
      <c r="Y106" s="50"/>
      <c r="Z106" s="50"/>
    </row>
    <row r="107" spans="1:26" ht="15.75" customHeight="1" x14ac:dyDescent="0.35">
      <c r="A107" s="50"/>
      <c r="B107" s="53" t="s">
        <v>98</v>
      </c>
      <c r="C107" s="63" t="s">
        <v>202</v>
      </c>
      <c r="D107" s="255">
        <f t="shared" ref="D107:P107" si="66">$D$24</f>
        <v>0.25</v>
      </c>
      <c r="E107" s="255">
        <f t="shared" si="66"/>
        <v>0.25</v>
      </c>
      <c r="F107" s="255">
        <f t="shared" si="66"/>
        <v>0.25</v>
      </c>
      <c r="G107" s="255">
        <f t="shared" si="66"/>
        <v>0.25</v>
      </c>
      <c r="H107" s="255">
        <f t="shared" si="66"/>
        <v>0.25</v>
      </c>
      <c r="I107" s="255">
        <f t="shared" si="66"/>
        <v>0.25</v>
      </c>
      <c r="J107" s="255">
        <f t="shared" si="66"/>
        <v>0.25</v>
      </c>
      <c r="K107" s="255">
        <f t="shared" si="66"/>
        <v>0.25</v>
      </c>
      <c r="L107" s="255">
        <f t="shared" si="66"/>
        <v>0.25</v>
      </c>
      <c r="M107" s="255">
        <f t="shared" si="66"/>
        <v>0.25</v>
      </c>
      <c r="N107" s="255">
        <f t="shared" si="66"/>
        <v>0.25</v>
      </c>
      <c r="O107" s="255">
        <f t="shared" si="66"/>
        <v>0.25</v>
      </c>
      <c r="P107" s="256">
        <f t="shared" si="66"/>
        <v>0.25</v>
      </c>
      <c r="Q107" s="50"/>
      <c r="R107" s="50"/>
      <c r="S107" s="50"/>
      <c r="T107" s="50"/>
      <c r="U107" s="50"/>
      <c r="V107" s="50"/>
      <c r="W107" s="50"/>
      <c r="X107" s="50"/>
      <c r="Y107" s="50"/>
      <c r="Z107" s="50"/>
    </row>
    <row r="108" spans="1:26" ht="15.75" customHeight="1" x14ac:dyDescent="0.35">
      <c r="A108" s="50"/>
      <c r="B108" s="53" t="s">
        <v>275</v>
      </c>
      <c r="C108" s="63" t="s">
        <v>202</v>
      </c>
      <c r="D108" s="255">
        <f t="shared" ref="D108:P108" si="67">$D$24</f>
        <v>0.25</v>
      </c>
      <c r="E108" s="255">
        <f t="shared" si="67"/>
        <v>0.25</v>
      </c>
      <c r="F108" s="255">
        <f t="shared" si="67"/>
        <v>0.25</v>
      </c>
      <c r="G108" s="255">
        <f t="shared" si="67"/>
        <v>0.25</v>
      </c>
      <c r="H108" s="255">
        <f t="shared" si="67"/>
        <v>0.25</v>
      </c>
      <c r="I108" s="255">
        <f t="shared" si="67"/>
        <v>0.25</v>
      </c>
      <c r="J108" s="255">
        <f t="shared" si="67"/>
        <v>0.25</v>
      </c>
      <c r="K108" s="255">
        <f t="shared" si="67"/>
        <v>0.25</v>
      </c>
      <c r="L108" s="255">
        <f t="shared" si="67"/>
        <v>0.25</v>
      </c>
      <c r="M108" s="255">
        <f t="shared" si="67"/>
        <v>0.25</v>
      </c>
      <c r="N108" s="255">
        <f t="shared" si="67"/>
        <v>0.25</v>
      </c>
      <c r="O108" s="255">
        <f t="shared" si="67"/>
        <v>0.25</v>
      </c>
      <c r="P108" s="256">
        <f t="shared" si="67"/>
        <v>0.25</v>
      </c>
      <c r="Q108" s="50"/>
      <c r="R108" s="50"/>
      <c r="S108" s="50"/>
      <c r="T108" s="50"/>
      <c r="U108" s="50"/>
      <c r="V108" s="50"/>
      <c r="W108" s="50"/>
      <c r="X108" s="50"/>
      <c r="Y108" s="50"/>
      <c r="Z108" s="50"/>
    </row>
    <row r="109" spans="1:26" ht="15.75" customHeight="1" x14ac:dyDescent="0.35">
      <c r="A109" s="50"/>
      <c r="B109" s="53" t="s">
        <v>276</v>
      </c>
      <c r="C109" s="63" t="s">
        <v>202</v>
      </c>
      <c r="D109" s="255">
        <f t="shared" ref="D109:P109" si="68">$D$24</f>
        <v>0.25</v>
      </c>
      <c r="E109" s="255">
        <f t="shared" si="68"/>
        <v>0.25</v>
      </c>
      <c r="F109" s="255">
        <f t="shared" si="68"/>
        <v>0.25</v>
      </c>
      <c r="G109" s="255">
        <f t="shared" si="68"/>
        <v>0.25</v>
      </c>
      <c r="H109" s="255">
        <f t="shared" si="68"/>
        <v>0.25</v>
      </c>
      <c r="I109" s="255">
        <f t="shared" si="68"/>
        <v>0.25</v>
      </c>
      <c r="J109" s="255">
        <f t="shared" si="68"/>
        <v>0.25</v>
      </c>
      <c r="K109" s="255">
        <f t="shared" si="68"/>
        <v>0.25</v>
      </c>
      <c r="L109" s="255">
        <f t="shared" si="68"/>
        <v>0.25</v>
      </c>
      <c r="M109" s="255">
        <f t="shared" si="68"/>
        <v>0.25</v>
      </c>
      <c r="N109" s="255">
        <f t="shared" si="68"/>
        <v>0.25</v>
      </c>
      <c r="O109" s="255">
        <f t="shared" si="68"/>
        <v>0.25</v>
      </c>
      <c r="P109" s="256">
        <f t="shared" si="68"/>
        <v>0.25</v>
      </c>
      <c r="Q109" s="50"/>
      <c r="R109" s="50"/>
      <c r="S109" s="50"/>
      <c r="T109" s="50"/>
      <c r="U109" s="50"/>
      <c r="V109" s="50"/>
      <c r="W109" s="50"/>
      <c r="X109" s="50"/>
      <c r="Y109" s="50"/>
      <c r="Z109" s="50"/>
    </row>
    <row r="110" spans="1:26" ht="15.75" customHeight="1" x14ac:dyDescent="0.35">
      <c r="A110" s="50"/>
      <c r="B110" s="254"/>
      <c r="C110" s="194"/>
      <c r="D110" s="245"/>
      <c r="E110" s="245"/>
      <c r="F110" s="245"/>
      <c r="G110" s="245"/>
      <c r="H110" s="245"/>
      <c r="I110" s="246"/>
      <c r="J110" s="246"/>
      <c r="K110" s="246"/>
      <c r="L110" s="246"/>
      <c r="M110" s="246"/>
      <c r="N110" s="246"/>
      <c r="O110" s="246"/>
      <c r="P110" s="247"/>
      <c r="Q110" s="50"/>
      <c r="R110" s="50"/>
      <c r="S110" s="50"/>
      <c r="T110" s="50"/>
      <c r="U110" s="50"/>
      <c r="V110" s="50"/>
      <c r="W110" s="50"/>
      <c r="X110" s="50"/>
      <c r="Y110" s="50"/>
      <c r="Z110" s="50"/>
    </row>
    <row r="111" spans="1:26" ht="15.75" customHeight="1" x14ac:dyDescent="0.35">
      <c r="A111" s="50"/>
      <c r="B111" s="46" t="s">
        <v>281</v>
      </c>
      <c r="C111" s="194"/>
      <c r="D111" s="245"/>
      <c r="E111" s="245"/>
      <c r="F111" s="245"/>
      <c r="G111" s="245"/>
      <c r="H111" s="245"/>
      <c r="I111" s="246"/>
      <c r="J111" s="246"/>
      <c r="K111" s="246"/>
      <c r="L111" s="246"/>
      <c r="M111" s="246"/>
      <c r="N111" s="246"/>
      <c r="O111" s="246"/>
      <c r="P111" s="247"/>
      <c r="Q111" s="50"/>
      <c r="R111" s="50"/>
      <c r="S111" s="50"/>
      <c r="T111" s="50"/>
      <c r="U111" s="50"/>
      <c r="V111" s="50"/>
      <c r="W111" s="50"/>
      <c r="X111" s="50"/>
      <c r="Y111" s="50"/>
      <c r="Z111" s="50"/>
    </row>
    <row r="112" spans="1:26" ht="15.75" customHeight="1" x14ac:dyDescent="0.35">
      <c r="A112" s="50"/>
      <c r="B112" s="53" t="s">
        <v>93</v>
      </c>
      <c r="C112" s="47" t="s">
        <v>202</v>
      </c>
      <c r="D112" s="257">
        <f t="shared" ref="D112:P112" si="69">IFERROR(D94*D103,"")</f>
        <v>25</v>
      </c>
      <c r="E112" s="257">
        <f t="shared" si="69"/>
        <v>25</v>
      </c>
      <c r="F112" s="257">
        <f t="shared" si="69"/>
        <v>25</v>
      </c>
      <c r="G112" s="257">
        <f t="shared" si="69"/>
        <v>27.500000000000004</v>
      </c>
      <c r="H112" s="257">
        <f t="shared" si="69"/>
        <v>30.250000000000007</v>
      </c>
      <c r="I112" s="257">
        <f t="shared" si="69"/>
        <v>33.275000000000013</v>
      </c>
      <c r="J112" s="257">
        <f t="shared" si="69"/>
        <v>36.60250000000002</v>
      </c>
      <c r="K112" s="257">
        <f t="shared" si="69"/>
        <v>40.262750000000025</v>
      </c>
      <c r="L112" s="257">
        <f t="shared" si="69"/>
        <v>44.289025000000031</v>
      </c>
      <c r="M112" s="257">
        <f t="shared" si="69"/>
        <v>48.717927500000037</v>
      </c>
      <c r="N112" s="257">
        <f t="shared" si="69"/>
        <v>53.589720250000049</v>
      </c>
      <c r="O112" s="257">
        <f t="shared" si="69"/>
        <v>58.948692275000056</v>
      </c>
      <c r="P112" s="258">
        <f t="shared" si="69"/>
        <v>64.843561502500066</v>
      </c>
      <c r="Q112" s="50"/>
      <c r="R112" s="50"/>
      <c r="S112" s="50"/>
      <c r="T112" s="50"/>
      <c r="U112" s="50"/>
      <c r="V112" s="50"/>
      <c r="W112" s="50"/>
      <c r="X112" s="50"/>
      <c r="Y112" s="50"/>
      <c r="Z112" s="50"/>
    </row>
    <row r="113" spans="1:26" ht="15.75" customHeight="1" x14ac:dyDescent="0.35">
      <c r="A113" s="50"/>
      <c r="B113" s="53" t="s">
        <v>95</v>
      </c>
      <c r="C113" s="47" t="s">
        <v>202</v>
      </c>
      <c r="D113" s="257">
        <f t="shared" ref="D113:P113" si="70">IFERROR(D95*D104,"")</f>
        <v>25</v>
      </c>
      <c r="E113" s="257">
        <f t="shared" si="70"/>
        <v>25</v>
      </c>
      <c r="F113" s="257">
        <f t="shared" si="70"/>
        <v>25</v>
      </c>
      <c r="G113" s="257">
        <f t="shared" si="70"/>
        <v>27.500000000000004</v>
      </c>
      <c r="H113" s="257">
        <f t="shared" si="70"/>
        <v>30.250000000000007</v>
      </c>
      <c r="I113" s="257">
        <f t="shared" si="70"/>
        <v>33.275000000000013</v>
      </c>
      <c r="J113" s="257">
        <f t="shared" si="70"/>
        <v>36.60250000000002</v>
      </c>
      <c r="K113" s="257">
        <f t="shared" si="70"/>
        <v>40.262750000000025</v>
      </c>
      <c r="L113" s="257">
        <f t="shared" si="70"/>
        <v>44.289025000000031</v>
      </c>
      <c r="M113" s="257">
        <f t="shared" si="70"/>
        <v>48.717927500000037</v>
      </c>
      <c r="N113" s="257">
        <f t="shared" si="70"/>
        <v>53.589720250000049</v>
      </c>
      <c r="O113" s="257">
        <f t="shared" si="70"/>
        <v>58.948692275000056</v>
      </c>
      <c r="P113" s="258">
        <f t="shared" si="70"/>
        <v>64.843561502500066</v>
      </c>
      <c r="Q113" s="50"/>
      <c r="R113" s="50"/>
      <c r="S113" s="50"/>
      <c r="T113" s="50"/>
      <c r="U113" s="50"/>
      <c r="V113" s="50"/>
      <c r="W113" s="50"/>
      <c r="X113" s="50"/>
      <c r="Y113" s="50"/>
      <c r="Z113" s="50"/>
    </row>
    <row r="114" spans="1:26" ht="15.75" customHeight="1" x14ac:dyDescent="0.35">
      <c r="A114" s="50"/>
      <c r="B114" s="53" t="s">
        <v>96</v>
      </c>
      <c r="C114" s="47" t="s">
        <v>202</v>
      </c>
      <c r="D114" s="257">
        <f t="shared" ref="D114:P114" si="71">IFERROR(D96*D105,"")</f>
        <v>25</v>
      </c>
      <c r="E114" s="257">
        <f t="shared" si="71"/>
        <v>25</v>
      </c>
      <c r="F114" s="257">
        <f t="shared" si="71"/>
        <v>25</v>
      </c>
      <c r="G114" s="257">
        <f t="shared" si="71"/>
        <v>27.500000000000004</v>
      </c>
      <c r="H114" s="257">
        <f t="shared" si="71"/>
        <v>30.250000000000007</v>
      </c>
      <c r="I114" s="257">
        <f t="shared" si="71"/>
        <v>33.275000000000013</v>
      </c>
      <c r="J114" s="257">
        <f t="shared" si="71"/>
        <v>36.60250000000002</v>
      </c>
      <c r="K114" s="257">
        <f t="shared" si="71"/>
        <v>40.262750000000025</v>
      </c>
      <c r="L114" s="257">
        <f t="shared" si="71"/>
        <v>44.289025000000031</v>
      </c>
      <c r="M114" s="257">
        <f t="shared" si="71"/>
        <v>48.717927500000037</v>
      </c>
      <c r="N114" s="257">
        <f t="shared" si="71"/>
        <v>53.589720250000049</v>
      </c>
      <c r="O114" s="257">
        <f t="shared" si="71"/>
        <v>58.948692275000056</v>
      </c>
      <c r="P114" s="258">
        <f t="shared" si="71"/>
        <v>64.843561502500066</v>
      </c>
      <c r="Q114" s="50"/>
      <c r="R114" s="50"/>
      <c r="S114" s="50"/>
      <c r="T114" s="50"/>
      <c r="U114" s="50"/>
      <c r="V114" s="50"/>
      <c r="W114" s="50"/>
      <c r="X114" s="50"/>
      <c r="Y114" s="50"/>
      <c r="Z114" s="50"/>
    </row>
    <row r="115" spans="1:26" ht="15.75" customHeight="1" x14ac:dyDescent="0.35">
      <c r="A115" s="50"/>
      <c r="B115" s="53" t="s">
        <v>97</v>
      </c>
      <c r="C115" s="47" t="s">
        <v>202</v>
      </c>
      <c r="D115" s="257">
        <f t="shared" ref="D115:P115" si="72">IFERROR(D97*D106,"")</f>
        <v>25</v>
      </c>
      <c r="E115" s="257">
        <f t="shared" si="72"/>
        <v>25</v>
      </c>
      <c r="F115" s="257">
        <f t="shared" si="72"/>
        <v>25</v>
      </c>
      <c r="G115" s="257">
        <f t="shared" si="72"/>
        <v>27.500000000000004</v>
      </c>
      <c r="H115" s="257">
        <f t="shared" si="72"/>
        <v>30.250000000000007</v>
      </c>
      <c r="I115" s="257">
        <f t="shared" si="72"/>
        <v>33.275000000000013</v>
      </c>
      <c r="J115" s="257">
        <f t="shared" si="72"/>
        <v>36.60250000000002</v>
      </c>
      <c r="K115" s="257">
        <f t="shared" si="72"/>
        <v>40.262750000000025</v>
      </c>
      <c r="L115" s="257">
        <f t="shared" si="72"/>
        <v>44.289025000000031</v>
      </c>
      <c r="M115" s="257">
        <f t="shared" si="72"/>
        <v>48.717927500000037</v>
      </c>
      <c r="N115" s="257">
        <f t="shared" si="72"/>
        <v>53.589720250000049</v>
      </c>
      <c r="O115" s="257">
        <f t="shared" si="72"/>
        <v>58.948692275000056</v>
      </c>
      <c r="P115" s="258">
        <f t="shared" si="72"/>
        <v>64.843561502500066</v>
      </c>
      <c r="Q115" s="50"/>
      <c r="R115" s="50"/>
      <c r="S115" s="50"/>
      <c r="T115" s="50"/>
      <c r="U115" s="50"/>
      <c r="V115" s="50"/>
      <c r="W115" s="50"/>
      <c r="X115" s="50"/>
      <c r="Y115" s="50"/>
      <c r="Z115" s="50"/>
    </row>
    <row r="116" spans="1:26" ht="15.75" customHeight="1" x14ac:dyDescent="0.35">
      <c r="A116" s="50"/>
      <c r="B116" s="53" t="s">
        <v>98</v>
      </c>
      <c r="C116" s="47" t="s">
        <v>202</v>
      </c>
      <c r="D116" s="257">
        <f t="shared" ref="D116:P116" si="73">IFERROR(D98*D107,"")</f>
        <v>25</v>
      </c>
      <c r="E116" s="257">
        <f t="shared" si="73"/>
        <v>25</v>
      </c>
      <c r="F116" s="257">
        <f t="shared" si="73"/>
        <v>25</v>
      </c>
      <c r="G116" s="257">
        <f t="shared" si="73"/>
        <v>27.500000000000004</v>
      </c>
      <c r="H116" s="257">
        <f t="shared" si="73"/>
        <v>30.250000000000007</v>
      </c>
      <c r="I116" s="257">
        <f t="shared" si="73"/>
        <v>33.275000000000013</v>
      </c>
      <c r="J116" s="257">
        <f t="shared" si="73"/>
        <v>36.60250000000002</v>
      </c>
      <c r="K116" s="257">
        <f t="shared" si="73"/>
        <v>40.262750000000025</v>
      </c>
      <c r="L116" s="257">
        <f t="shared" si="73"/>
        <v>44.289025000000031</v>
      </c>
      <c r="M116" s="257">
        <f t="shared" si="73"/>
        <v>48.717927500000037</v>
      </c>
      <c r="N116" s="257">
        <f t="shared" si="73"/>
        <v>53.589720250000049</v>
      </c>
      <c r="O116" s="257">
        <f t="shared" si="73"/>
        <v>58.948692275000056</v>
      </c>
      <c r="P116" s="258">
        <f t="shared" si="73"/>
        <v>64.843561502500066</v>
      </c>
      <c r="Q116" s="50"/>
      <c r="R116" s="50"/>
      <c r="S116" s="50"/>
      <c r="T116" s="50"/>
      <c r="U116" s="50"/>
      <c r="V116" s="50"/>
      <c r="W116" s="50"/>
      <c r="X116" s="50"/>
      <c r="Y116" s="50"/>
      <c r="Z116" s="50"/>
    </row>
    <row r="117" spans="1:26" ht="15.75" customHeight="1" x14ac:dyDescent="0.35">
      <c r="A117" s="50"/>
      <c r="B117" s="53" t="s">
        <v>275</v>
      </c>
      <c r="C117" s="47" t="s">
        <v>202</v>
      </c>
      <c r="D117" s="257">
        <f t="shared" ref="D117:P117" si="74">IFERROR(D99*D108,"")</f>
        <v>25</v>
      </c>
      <c r="E117" s="257">
        <f t="shared" si="74"/>
        <v>25</v>
      </c>
      <c r="F117" s="257">
        <f t="shared" si="74"/>
        <v>25</v>
      </c>
      <c r="G117" s="257">
        <f t="shared" si="74"/>
        <v>27.500000000000004</v>
      </c>
      <c r="H117" s="257">
        <f t="shared" si="74"/>
        <v>30.250000000000007</v>
      </c>
      <c r="I117" s="257">
        <f t="shared" si="74"/>
        <v>33.275000000000013</v>
      </c>
      <c r="J117" s="257">
        <f t="shared" si="74"/>
        <v>36.60250000000002</v>
      </c>
      <c r="K117" s="257">
        <f t="shared" si="74"/>
        <v>40.262750000000025</v>
      </c>
      <c r="L117" s="257">
        <f t="shared" si="74"/>
        <v>44.289025000000031</v>
      </c>
      <c r="M117" s="257">
        <f t="shared" si="74"/>
        <v>48.717927500000037</v>
      </c>
      <c r="N117" s="257">
        <f t="shared" si="74"/>
        <v>53.589720250000049</v>
      </c>
      <c r="O117" s="257">
        <f t="shared" si="74"/>
        <v>58.948692275000056</v>
      </c>
      <c r="P117" s="258">
        <f t="shared" si="74"/>
        <v>64.843561502500066</v>
      </c>
      <c r="Q117" s="50"/>
      <c r="R117" s="50"/>
      <c r="S117" s="50"/>
      <c r="T117" s="50"/>
      <c r="U117" s="50"/>
      <c r="V117" s="50"/>
      <c r="W117" s="50"/>
      <c r="X117" s="50"/>
      <c r="Y117" s="50"/>
      <c r="Z117" s="50"/>
    </row>
    <row r="118" spans="1:26" ht="15.75" customHeight="1" x14ac:dyDescent="0.35">
      <c r="A118" s="50"/>
      <c r="B118" s="53" t="s">
        <v>276</v>
      </c>
      <c r="C118" s="47" t="s">
        <v>202</v>
      </c>
      <c r="D118" s="257">
        <f t="shared" ref="D118:P118" si="75">IFERROR(D100*D109,"")</f>
        <v>25</v>
      </c>
      <c r="E118" s="257">
        <f t="shared" si="75"/>
        <v>25</v>
      </c>
      <c r="F118" s="257">
        <f t="shared" si="75"/>
        <v>25</v>
      </c>
      <c r="G118" s="257">
        <f t="shared" si="75"/>
        <v>27.500000000000004</v>
      </c>
      <c r="H118" s="257">
        <f t="shared" si="75"/>
        <v>30.250000000000007</v>
      </c>
      <c r="I118" s="257">
        <f t="shared" si="75"/>
        <v>33.275000000000013</v>
      </c>
      <c r="J118" s="257">
        <f t="shared" si="75"/>
        <v>36.60250000000002</v>
      </c>
      <c r="K118" s="257">
        <f t="shared" si="75"/>
        <v>40.262750000000025</v>
      </c>
      <c r="L118" s="257">
        <f t="shared" si="75"/>
        <v>44.289025000000031</v>
      </c>
      <c r="M118" s="257">
        <f t="shared" si="75"/>
        <v>48.717927500000037</v>
      </c>
      <c r="N118" s="257">
        <f t="shared" si="75"/>
        <v>53.589720250000049</v>
      </c>
      <c r="O118" s="257">
        <f t="shared" si="75"/>
        <v>58.948692275000056</v>
      </c>
      <c r="P118" s="258">
        <f t="shared" si="75"/>
        <v>64.843561502500066</v>
      </c>
      <c r="Q118" s="50"/>
      <c r="R118" s="50"/>
      <c r="S118" s="50"/>
      <c r="T118" s="50"/>
      <c r="U118" s="50"/>
      <c r="V118" s="50"/>
      <c r="W118" s="50"/>
      <c r="X118" s="50"/>
      <c r="Y118" s="50"/>
      <c r="Z118" s="50"/>
    </row>
    <row r="119" spans="1:26" ht="15.75" customHeight="1" x14ac:dyDescent="0.35">
      <c r="A119" s="50"/>
      <c r="B119" s="254" t="s">
        <v>65</v>
      </c>
      <c r="C119" s="194"/>
      <c r="D119" s="245">
        <f t="shared" ref="D119:P119" si="76">SUM(D112:D118)</f>
        <v>175</v>
      </c>
      <c r="E119" s="245">
        <f t="shared" si="76"/>
        <v>175</v>
      </c>
      <c r="F119" s="245">
        <f t="shared" si="76"/>
        <v>175</v>
      </c>
      <c r="G119" s="245">
        <f t="shared" si="76"/>
        <v>192.50000000000003</v>
      </c>
      <c r="H119" s="245">
        <f t="shared" si="76"/>
        <v>211.75000000000003</v>
      </c>
      <c r="I119" s="245">
        <f t="shared" si="76"/>
        <v>232.92500000000007</v>
      </c>
      <c r="J119" s="245">
        <f t="shared" si="76"/>
        <v>256.21750000000014</v>
      </c>
      <c r="K119" s="245">
        <f t="shared" si="76"/>
        <v>281.83925000000022</v>
      </c>
      <c r="L119" s="245">
        <f t="shared" si="76"/>
        <v>310.02317500000021</v>
      </c>
      <c r="M119" s="245">
        <f t="shared" si="76"/>
        <v>341.02549250000027</v>
      </c>
      <c r="N119" s="245">
        <f t="shared" si="76"/>
        <v>375.12804175000031</v>
      </c>
      <c r="O119" s="245">
        <f t="shared" si="76"/>
        <v>412.64084592500035</v>
      </c>
      <c r="P119" s="250">
        <f t="shared" si="76"/>
        <v>453.90493051750042</v>
      </c>
      <c r="Q119" s="50"/>
      <c r="R119" s="50"/>
      <c r="S119" s="50"/>
      <c r="T119" s="50"/>
      <c r="U119" s="50"/>
      <c r="V119" s="50"/>
      <c r="W119" s="50"/>
      <c r="X119" s="50"/>
      <c r="Y119" s="50"/>
      <c r="Z119" s="50"/>
    </row>
    <row r="120" spans="1:26" ht="15.75" customHeight="1" x14ac:dyDescent="0.35">
      <c r="A120" s="50"/>
      <c r="B120" s="131" t="s">
        <v>137</v>
      </c>
      <c r="C120" s="132" t="s">
        <v>138</v>
      </c>
      <c r="D120" s="133">
        <f t="array" ref="D120">NPV(D30,D119:P119)</f>
        <v>2446.5341187588351</v>
      </c>
      <c r="E120" s="134"/>
      <c r="F120" s="134"/>
      <c r="G120" s="134"/>
      <c r="H120" s="134"/>
      <c r="I120" s="134"/>
      <c r="J120" s="134"/>
      <c r="K120" s="134"/>
      <c r="L120" s="134"/>
      <c r="M120" s="134"/>
      <c r="N120" s="134"/>
      <c r="O120" s="134"/>
      <c r="P120" s="136"/>
      <c r="Q120" s="50"/>
      <c r="R120" s="50"/>
      <c r="S120" s="50"/>
      <c r="T120" s="50"/>
      <c r="U120" s="50"/>
      <c r="V120" s="50"/>
      <c r="W120" s="50"/>
      <c r="X120" s="50"/>
      <c r="Y120" s="50"/>
      <c r="Z120" s="50"/>
    </row>
    <row r="121" spans="1:26" ht="15.75" customHeight="1" x14ac:dyDescent="0.35">
      <c r="A121" s="50"/>
      <c r="B121" s="50"/>
      <c r="C121" s="63"/>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35" t="s">
        <v>55</v>
      </c>
      <c r="C122" s="38"/>
      <c r="D122" s="565" t="s">
        <v>129</v>
      </c>
      <c r="E122" s="552"/>
      <c r="F122" s="553"/>
      <c r="G122" s="112" t="s">
        <v>130</v>
      </c>
      <c r="H122" s="38" t="e">
        <f t="shared" ref="H122:P122" si="77">+G122+1</f>
        <v>#VALUE!</v>
      </c>
      <c r="I122" s="38" t="e">
        <f t="shared" si="77"/>
        <v>#VALUE!</v>
      </c>
      <c r="J122" s="38" t="e">
        <f t="shared" si="77"/>
        <v>#VALUE!</v>
      </c>
      <c r="K122" s="38" t="e">
        <f t="shared" si="77"/>
        <v>#VALUE!</v>
      </c>
      <c r="L122" s="38" t="e">
        <f t="shared" si="77"/>
        <v>#VALUE!</v>
      </c>
      <c r="M122" s="38" t="e">
        <f t="shared" si="77"/>
        <v>#VALUE!</v>
      </c>
      <c r="N122" s="38" t="e">
        <f t="shared" si="77"/>
        <v>#VALUE!</v>
      </c>
      <c r="O122" s="38" t="e">
        <f t="shared" si="77"/>
        <v>#VALUE!</v>
      </c>
      <c r="P122" s="39" t="e">
        <f t="shared" si="77"/>
        <v>#VALUE!</v>
      </c>
      <c r="Q122" s="50"/>
      <c r="R122" s="50"/>
      <c r="S122" s="50"/>
      <c r="T122" s="50"/>
      <c r="U122" s="50"/>
      <c r="V122" s="50"/>
      <c r="W122" s="50"/>
      <c r="X122" s="50"/>
      <c r="Y122" s="50"/>
      <c r="Z122" s="50"/>
    </row>
    <row r="123" spans="1:26" ht="15.75" customHeight="1" x14ac:dyDescent="0.35">
      <c r="A123" s="50"/>
      <c r="B123" s="40"/>
      <c r="C123" s="113"/>
      <c r="D123" s="159">
        <f>D34</f>
        <v>1</v>
      </c>
      <c r="E123" s="159">
        <f>+D123+1</f>
        <v>2</v>
      </c>
      <c r="F123" s="159">
        <f t="shared" ref="F123:P123" si="78">E123+1</f>
        <v>3</v>
      </c>
      <c r="G123" s="159">
        <f t="shared" si="78"/>
        <v>4</v>
      </c>
      <c r="H123" s="159">
        <f t="shared" si="78"/>
        <v>5</v>
      </c>
      <c r="I123" s="159">
        <f t="shared" si="78"/>
        <v>6</v>
      </c>
      <c r="J123" s="159">
        <f t="shared" si="78"/>
        <v>7</v>
      </c>
      <c r="K123" s="159">
        <f t="shared" si="78"/>
        <v>8</v>
      </c>
      <c r="L123" s="159">
        <f t="shared" si="78"/>
        <v>9</v>
      </c>
      <c r="M123" s="159">
        <f t="shared" si="78"/>
        <v>10</v>
      </c>
      <c r="N123" s="159">
        <f t="shared" si="78"/>
        <v>11</v>
      </c>
      <c r="O123" s="159">
        <f t="shared" si="78"/>
        <v>12</v>
      </c>
      <c r="P123" s="160">
        <f t="shared" si="78"/>
        <v>13</v>
      </c>
      <c r="Q123" s="50"/>
      <c r="R123" s="50"/>
      <c r="S123" s="50"/>
      <c r="T123" s="50"/>
      <c r="U123" s="50"/>
      <c r="V123" s="50"/>
      <c r="W123" s="50"/>
      <c r="X123" s="50"/>
      <c r="Y123" s="50"/>
      <c r="Z123" s="50"/>
    </row>
    <row r="124" spans="1:26" ht="15.75" customHeight="1" x14ac:dyDescent="0.35">
      <c r="A124" s="50"/>
      <c r="B124" s="46" t="s">
        <v>282</v>
      </c>
      <c r="C124" s="47"/>
      <c r="D124" s="49"/>
      <c r="E124" s="49"/>
      <c r="F124" s="49"/>
      <c r="G124" s="49"/>
      <c r="H124" s="49"/>
      <c r="I124" s="49"/>
      <c r="J124" s="49"/>
      <c r="K124" s="49"/>
      <c r="L124" s="49"/>
      <c r="M124" s="49"/>
      <c r="N124" s="50"/>
      <c r="O124" s="50"/>
      <c r="P124" s="115"/>
      <c r="Q124" s="50"/>
      <c r="R124" s="50"/>
      <c r="S124" s="50"/>
      <c r="T124" s="50"/>
      <c r="U124" s="50"/>
      <c r="V124" s="50"/>
      <c r="W124" s="50"/>
      <c r="X124" s="50"/>
      <c r="Y124" s="50"/>
      <c r="Z124" s="50"/>
    </row>
    <row r="125" spans="1:26" ht="15.75" customHeight="1" x14ac:dyDescent="0.35">
      <c r="A125" s="50"/>
      <c r="B125" s="53" t="s">
        <v>93</v>
      </c>
      <c r="C125" s="54" t="s">
        <v>109</v>
      </c>
      <c r="D125" s="145">
        <f>D53/'1.Red. Purch. Cost Patient Care'!D74</f>
        <v>0.1</v>
      </c>
      <c r="E125" s="145">
        <f>E53/'1.Red. Purch. Cost Patient Care'!E74</f>
        <v>0.1</v>
      </c>
      <c r="F125" s="145">
        <f>F53/'1.Red. Purch. Cost Patient Care'!F74</f>
        <v>0.1</v>
      </c>
      <c r="G125" s="145">
        <f>G53/'1.Red. Purch. Cost Patient Care'!G74</f>
        <v>0.10476190476190478</v>
      </c>
      <c r="H125" s="145">
        <f>H53/'1.Red. Purch. Cost Patient Care'!H74</f>
        <v>0.10975056689342406</v>
      </c>
      <c r="I125" s="145">
        <f>I53/'1.Red. Purch. Cost Patient Care'!I74</f>
        <v>0.11497678436453951</v>
      </c>
      <c r="J125" s="145">
        <f>J53/'1.Red. Purch. Cost Patient Care'!J74</f>
        <v>0.1204518693342795</v>
      </c>
      <c r="K125" s="145">
        <f>K53/'1.Red. Purch. Cost Patient Care'!K74</f>
        <v>0.12618767263591185</v>
      </c>
      <c r="L125" s="145">
        <f>L53/'1.Red. Purch. Cost Patient Care'!L74</f>
        <v>0.13219660942809813</v>
      </c>
      <c r="M125" s="145">
        <f>M53/'1.Red. Purch. Cost Patient Care'!M74</f>
        <v>0.13849168606753137</v>
      </c>
      <c r="N125" s="145">
        <f>N53/'1.Red. Purch. Cost Patient Care'!N74</f>
        <v>0.14508652826122334</v>
      </c>
      <c r="O125" s="145">
        <f>O53/'1.Red. Purch. Cost Patient Care'!O74</f>
        <v>0.15199541055937685</v>
      </c>
      <c r="P125" s="146">
        <f>P53/'1.Red. Purch. Cost Patient Care'!P74</f>
        <v>0.15923328725268052</v>
      </c>
      <c r="Q125" s="50"/>
      <c r="R125" s="50"/>
      <c r="S125" s="50"/>
      <c r="T125" s="50"/>
      <c r="U125" s="50"/>
      <c r="V125" s="50"/>
      <c r="W125" s="50"/>
      <c r="X125" s="50"/>
      <c r="Y125" s="50"/>
      <c r="Z125" s="50"/>
    </row>
    <row r="126" spans="1:26" ht="15.75" customHeight="1" x14ac:dyDescent="0.35">
      <c r="A126" s="50"/>
      <c r="B126" s="53" t="s">
        <v>95</v>
      </c>
      <c r="C126" s="54" t="s">
        <v>109</v>
      </c>
      <c r="D126" s="145">
        <f>D54/'1.Red. Purch. Cost Patient Care'!D75</f>
        <v>0.1</v>
      </c>
      <c r="E126" s="145">
        <f>E54/'1.Red. Purch. Cost Patient Care'!E75</f>
        <v>0.1</v>
      </c>
      <c r="F126" s="145">
        <f>F54/'1.Red. Purch. Cost Patient Care'!F75</f>
        <v>0.1</v>
      </c>
      <c r="G126" s="145">
        <f>G54/'1.Red. Purch. Cost Patient Care'!G75</f>
        <v>0.10476190476190478</v>
      </c>
      <c r="H126" s="145">
        <f>H54/'1.Red. Purch. Cost Patient Care'!H75</f>
        <v>0.10975056689342406</v>
      </c>
      <c r="I126" s="145">
        <f>I54/'1.Red. Purch. Cost Patient Care'!I75</f>
        <v>0.11497678436453951</v>
      </c>
      <c r="J126" s="145">
        <f>J54/'1.Red. Purch. Cost Patient Care'!J75</f>
        <v>0.1204518693342795</v>
      </c>
      <c r="K126" s="145">
        <f>K54/'1.Red. Purch. Cost Patient Care'!K75</f>
        <v>0.12618767263591185</v>
      </c>
      <c r="L126" s="145">
        <f>L54/'1.Red. Purch. Cost Patient Care'!L75</f>
        <v>0.13219660942809813</v>
      </c>
      <c r="M126" s="145">
        <f>M54/'1.Red. Purch. Cost Patient Care'!M75</f>
        <v>0.13849168606753137</v>
      </c>
      <c r="N126" s="145">
        <f>N54/'1.Red. Purch. Cost Patient Care'!N75</f>
        <v>0.14508652826122334</v>
      </c>
      <c r="O126" s="145">
        <f>O54/'1.Red. Purch. Cost Patient Care'!O75</f>
        <v>0.15199541055937685</v>
      </c>
      <c r="P126" s="146">
        <f>P54/'1.Red. Purch. Cost Patient Care'!P75</f>
        <v>0.15923328725268052</v>
      </c>
      <c r="Q126" s="50"/>
      <c r="R126" s="50"/>
      <c r="S126" s="50"/>
      <c r="T126" s="50"/>
      <c r="U126" s="50"/>
      <c r="V126" s="50"/>
      <c r="W126" s="50"/>
      <c r="X126" s="50"/>
      <c r="Y126" s="50"/>
      <c r="Z126" s="50"/>
    </row>
    <row r="127" spans="1:26" ht="15.75" customHeight="1" x14ac:dyDescent="0.35">
      <c r="A127" s="50"/>
      <c r="B127" s="53" t="s">
        <v>96</v>
      </c>
      <c r="C127" s="54" t="s">
        <v>109</v>
      </c>
      <c r="D127" s="145">
        <f>D55/'1.Red. Purch. Cost Patient Care'!D76</f>
        <v>0.1</v>
      </c>
      <c r="E127" s="145">
        <f>E55/'1.Red. Purch. Cost Patient Care'!E76</f>
        <v>0.1</v>
      </c>
      <c r="F127" s="145">
        <f>F55/'1.Red. Purch. Cost Patient Care'!F76</f>
        <v>0.1</v>
      </c>
      <c r="G127" s="145">
        <f>G55/'1.Red. Purch. Cost Patient Care'!G76</f>
        <v>0.10476190476190478</v>
      </c>
      <c r="H127" s="145">
        <f>H55/'1.Red. Purch. Cost Patient Care'!H76</f>
        <v>0.10975056689342406</v>
      </c>
      <c r="I127" s="145">
        <f>I55/'1.Red. Purch. Cost Patient Care'!I76</f>
        <v>0.11497678436453951</v>
      </c>
      <c r="J127" s="145">
        <f>J55/'1.Red. Purch. Cost Patient Care'!J76</f>
        <v>0.1204518693342795</v>
      </c>
      <c r="K127" s="145">
        <f>K55/'1.Red. Purch. Cost Patient Care'!K76</f>
        <v>0.12618767263591185</v>
      </c>
      <c r="L127" s="145">
        <f>L55/'1.Red. Purch. Cost Patient Care'!L76</f>
        <v>0.13219660942809813</v>
      </c>
      <c r="M127" s="145">
        <f>M55/'1.Red. Purch. Cost Patient Care'!M76</f>
        <v>0.13849168606753137</v>
      </c>
      <c r="N127" s="145">
        <f>N55/'1.Red. Purch. Cost Patient Care'!N76</f>
        <v>0.14508652826122334</v>
      </c>
      <c r="O127" s="145">
        <f>O55/'1.Red. Purch. Cost Patient Care'!O76</f>
        <v>0.15199541055937685</v>
      </c>
      <c r="P127" s="146">
        <f>P55/'1.Red. Purch. Cost Patient Care'!P76</f>
        <v>0.15923328725268052</v>
      </c>
      <c r="Q127" s="50"/>
      <c r="R127" s="50"/>
      <c r="S127" s="50"/>
      <c r="T127" s="50"/>
      <c r="U127" s="50"/>
      <c r="V127" s="50"/>
      <c r="W127" s="50"/>
      <c r="X127" s="50"/>
      <c r="Y127" s="50"/>
      <c r="Z127" s="50"/>
    </row>
    <row r="128" spans="1:26" ht="15.75" customHeight="1" x14ac:dyDescent="0.35">
      <c r="A128" s="50"/>
      <c r="B128" s="53" t="s">
        <v>97</v>
      </c>
      <c r="C128" s="54" t="s">
        <v>109</v>
      </c>
      <c r="D128" s="145">
        <f>D56/'1.Red. Purch. Cost Patient Care'!D77</f>
        <v>0.1</v>
      </c>
      <c r="E128" s="145">
        <f>E56/'1.Red. Purch. Cost Patient Care'!E77</f>
        <v>0.1</v>
      </c>
      <c r="F128" s="145">
        <f>F56/'1.Red. Purch. Cost Patient Care'!F77</f>
        <v>0.1</v>
      </c>
      <c r="G128" s="145">
        <f>G56/'1.Red. Purch. Cost Patient Care'!G77</f>
        <v>0.10476190476190478</v>
      </c>
      <c r="H128" s="145">
        <f>H56/'1.Red. Purch. Cost Patient Care'!H77</f>
        <v>0.10975056689342406</v>
      </c>
      <c r="I128" s="145">
        <f>I56/'1.Red. Purch. Cost Patient Care'!I77</f>
        <v>0.11497678436453951</v>
      </c>
      <c r="J128" s="145">
        <f>J56/'1.Red. Purch. Cost Patient Care'!J77</f>
        <v>0.1204518693342795</v>
      </c>
      <c r="K128" s="145">
        <f>K56/'1.Red. Purch. Cost Patient Care'!K77</f>
        <v>0.12618767263591185</v>
      </c>
      <c r="L128" s="145">
        <f>L56/'1.Red. Purch. Cost Patient Care'!L77</f>
        <v>0.13219660942809813</v>
      </c>
      <c r="M128" s="145">
        <f>M56/'1.Red. Purch. Cost Patient Care'!M77</f>
        <v>0.13849168606753137</v>
      </c>
      <c r="N128" s="145">
        <f>N56/'1.Red. Purch. Cost Patient Care'!N77</f>
        <v>0.14508652826122334</v>
      </c>
      <c r="O128" s="145">
        <f>O56/'1.Red. Purch. Cost Patient Care'!O77</f>
        <v>0.15199541055937685</v>
      </c>
      <c r="P128" s="146">
        <f>P56/'1.Red. Purch. Cost Patient Care'!P77</f>
        <v>0.15923328725268052</v>
      </c>
      <c r="Q128" s="50"/>
      <c r="R128" s="50"/>
      <c r="S128" s="50"/>
      <c r="T128" s="50"/>
      <c r="U128" s="50"/>
      <c r="V128" s="50"/>
      <c r="W128" s="50"/>
      <c r="X128" s="50"/>
      <c r="Y128" s="50"/>
      <c r="Z128" s="50"/>
    </row>
    <row r="129" spans="1:26" ht="15.75" customHeight="1" x14ac:dyDescent="0.35">
      <c r="A129" s="50"/>
      <c r="B129" s="53" t="s">
        <v>98</v>
      </c>
      <c r="C129" s="54" t="s">
        <v>109</v>
      </c>
      <c r="D129" s="145">
        <f>D59/'1.Red. Purch. Cost Patient Care'!D78</f>
        <v>0.1</v>
      </c>
      <c r="E129" s="145">
        <f>E59/'1.Red. Purch. Cost Patient Care'!E78</f>
        <v>0.1</v>
      </c>
      <c r="F129" s="145">
        <f>F59/'1.Red. Purch. Cost Patient Care'!F78</f>
        <v>0.1</v>
      </c>
      <c r="G129" s="145">
        <f>G59/'1.Red. Purch. Cost Patient Care'!G78</f>
        <v>0.10476190476190478</v>
      </c>
      <c r="H129" s="145">
        <f>H59/'1.Red. Purch. Cost Patient Care'!H78</f>
        <v>0.10975056689342406</v>
      </c>
      <c r="I129" s="145">
        <f>I59/'1.Red. Purch. Cost Patient Care'!I78</f>
        <v>0.11497678436453951</v>
      </c>
      <c r="J129" s="145">
        <f>J59/'1.Red. Purch. Cost Patient Care'!J78</f>
        <v>0.1204518693342795</v>
      </c>
      <c r="K129" s="145">
        <f>K59/'1.Red. Purch. Cost Patient Care'!K78</f>
        <v>0.12618767263591185</v>
      </c>
      <c r="L129" s="145">
        <f>L59/'1.Red. Purch. Cost Patient Care'!L78</f>
        <v>0.13219660942809813</v>
      </c>
      <c r="M129" s="145">
        <f>M59/'1.Red. Purch. Cost Patient Care'!M78</f>
        <v>0.13849168606753137</v>
      </c>
      <c r="N129" s="145">
        <f>N59/'1.Red. Purch. Cost Patient Care'!N78</f>
        <v>0.14508652826122334</v>
      </c>
      <c r="O129" s="145">
        <f>O59/'1.Red. Purch. Cost Patient Care'!O78</f>
        <v>0.15199541055937685</v>
      </c>
      <c r="P129" s="146">
        <f>P59/'1.Red. Purch. Cost Patient Care'!P78</f>
        <v>0.15923328725268052</v>
      </c>
      <c r="Q129" s="50"/>
      <c r="R129" s="50"/>
      <c r="S129" s="50"/>
      <c r="T129" s="50"/>
      <c r="U129" s="50"/>
      <c r="V129" s="50"/>
      <c r="W129" s="50"/>
      <c r="X129" s="50"/>
      <c r="Y129" s="50"/>
      <c r="Z129" s="50"/>
    </row>
    <row r="130" spans="1:26" ht="15.75" customHeight="1" x14ac:dyDescent="0.35">
      <c r="A130" s="50"/>
      <c r="B130" s="53" t="s">
        <v>275</v>
      </c>
      <c r="C130" s="54" t="s">
        <v>109</v>
      </c>
      <c r="D130" s="145">
        <f>D60/'1.Red. Purch. Cost Patient Care'!D79</f>
        <v>0.1</v>
      </c>
      <c r="E130" s="145">
        <f>E60/'1.Red. Purch. Cost Patient Care'!E79</f>
        <v>0.1</v>
      </c>
      <c r="F130" s="145">
        <f>F60/'1.Red. Purch. Cost Patient Care'!F79</f>
        <v>0.1</v>
      </c>
      <c r="G130" s="145">
        <f>G60/'1.Red. Purch. Cost Patient Care'!G79</f>
        <v>0.10476190476190478</v>
      </c>
      <c r="H130" s="145">
        <f>H60/'1.Red. Purch. Cost Patient Care'!H79</f>
        <v>0.10975056689342406</v>
      </c>
      <c r="I130" s="145">
        <f>I60/'1.Red. Purch. Cost Patient Care'!I79</f>
        <v>0.11497678436453951</v>
      </c>
      <c r="J130" s="145">
        <f>J60/'1.Red. Purch. Cost Patient Care'!J79</f>
        <v>0.1204518693342795</v>
      </c>
      <c r="K130" s="145">
        <f>K60/'1.Red. Purch. Cost Patient Care'!K79</f>
        <v>0.12618767263591185</v>
      </c>
      <c r="L130" s="145">
        <f>L60/'1.Red. Purch. Cost Patient Care'!L79</f>
        <v>0.13219660942809813</v>
      </c>
      <c r="M130" s="145">
        <f>M60/'1.Red. Purch. Cost Patient Care'!M79</f>
        <v>0.13849168606753137</v>
      </c>
      <c r="N130" s="145">
        <f>N60/'1.Red. Purch. Cost Patient Care'!N79</f>
        <v>0.14508652826122334</v>
      </c>
      <c r="O130" s="145">
        <f>O60/'1.Red. Purch. Cost Patient Care'!O79</f>
        <v>0.15199541055937685</v>
      </c>
      <c r="P130" s="146">
        <f>P60/'1.Red. Purch. Cost Patient Care'!P79</f>
        <v>0.15923328725268052</v>
      </c>
      <c r="Q130" s="50"/>
      <c r="R130" s="50"/>
      <c r="S130" s="50"/>
      <c r="T130" s="50"/>
      <c r="U130" s="50"/>
      <c r="V130" s="50"/>
      <c r="W130" s="50"/>
      <c r="X130" s="50"/>
      <c r="Y130" s="50"/>
      <c r="Z130" s="50"/>
    </row>
    <row r="131" spans="1:26" ht="15.75" customHeight="1" x14ac:dyDescent="0.35">
      <c r="A131" s="50"/>
      <c r="B131" s="72" t="s">
        <v>276</v>
      </c>
      <c r="C131" s="73" t="s">
        <v>109</v>
      </c>
      <c r="D131" s="259">
        <f>D61/'1.Red. Purch. Cost Patient Care'!D80</f>
        <v>0.1</v>
      </c>
      <c r="E131" s="259">
        <f>E61/'1.Red. Purch. Cost Patient Care'!E80</f>
        <v>0.1</v>
      </c>
      <c r="F131" s="259">
        <f>F61/'1.Red. Purch. Cost Patient Care'!F80</f>
        <v>0.1</v>
      </c>
      <c r="G131" s="259">
        <f>G61/'1.Red. Purch. Cost Patient Care'!G80</f>
        <v>0.10476190476190478</v>
      </c>
      <c r="H131" s="259">
        <f>H61/'1.Red. Purch. Cost Patient Care'!H80</f>
        <v>0.10975056689342406</v>
      </c>
      <c r="I131" s="259">
        <f>I61/'1.Red. Purch. Cost Patient Care'!I80</f>
        <v>0.11497678436453951</v>
      </c>
      <c r="J131" s="259">
        <f>J61/'1.Red. Purch. Cost Patient Care'!J80</f>
        <v>0.1204518693342795</v>
      </c>
      <c r="K131" s="259">
        <f>K61/'1.Red. Purch. Cost Patient Care'!K80</f>
        <v>0.12618767263591185</v>
      </c>
      <c r="L131" s="259">
        <f>L61/'1.Red. Purch. Cost Patient Care'!L80</f>
        <v>0.13219660942809813</v>
      </c>
      <c r="M131" s="259">
        <f>M61/'1.Red. Purch. Cost Patient Care'!M80</f>
        <v>0.13849168606753137</v>
      </c>
      <c r="N131" s="259">
        <f>N61/'1.Red. Purch. Cost Patient Care'!N80</f>
        <v>0.14508652826122334</v>
      </c>
      <c r="O131" s="259">
        <f>O61/'1.Red. Purch. Cost Patient Care'!O80</f>
        <v>0.15199541055937685</v>
      </c>
      <c r="P131" s="260">
        <f>P61/'1.Red. Purch. Cost Patient Care'!P80</f>
        <v>0.15923328725268052</v>
      </c>
      <c r="Q131" s="50"/>
      <c r="R131" s="50"/>
      <c r="S131" s="50"/>
      <c r="T131" s="50"/>
      <c r="U131" s="50"/>
      <c r="V131" s="50"/>
      <c r="W131" s="50"/>
      <c r="X131" s="50"/>
      <c r="Y131" s="50"/>
      <c r="Z131" s="50"/>
    </row>
    <row r="132" spans="1:26" ht="15.75" customHeight="1" x14ac:dyDescent="0.35">
      <c r="A132" s="50"/>
      <c r="B132" s="147" t="s">
        <v>140</v>
      </c>
      <c r="C132" s="261" t="s">
        <v>109</v>
      </c>
      <c r="D132" s="149">
        <f>D62/'1.Red. Purch. Cost Patient Care'!D84</f>
        <v>0.09</v>
      </c>
      <c r="E132" s="149">
        <f>E62/'1.Red. Purch. Cost Patient Care'!E84</f>
        <v>0.09</v>
      </c>
      <c r="F132" s="149">
        <f>F62/'1.Red. Purch. Cost Patient Care'!F84</f>
        <v>0.09</v>
      </c>
      <c r="G132" s="149">
        <f>G62/'1.Red. Purch. Cost Patient Care'!G84</f>
        <v>9.4285714285714292E-2</v>
      </c>
      <c r="H132" s="149">
        <f>H62/'1.Red. Purch. Cost Patient Care'!H84</f>
        <v>9.8775510204081651E-2</v>
      </c>
      <c r="I132" s="149">
        <f>I62/'1.Red. Purch. Cost Patient Care'!I84</f>
        <v>0.10347910592808557</v>
      </c>
      <c r="J132" s="149">
        <f>J62/'1.Red. Purch. Cost Patient Care'!J84</f>
        <v>0.10840668240085154</v>
      </c>
      <c r="K132" s="149">
        <f>K62/'1.Red. Purch. Cost Patient Care'!K84</f>
        <v>0.11356890537232069</v>
      </c>
      <c r="L132" s="149">
        <f>L62/'1.Red. Purch. Cost Patient Care'!L84</f>
        <v>0.11897694848528831</v>
      </c>
      <c r="M132" s="149">
        <f>M62/'1.Red. Purch. Cost Patient Care'!M84</f>
        <v>0.12464251746077822</v>
      </c>
      <c r="N132" s="149">
        <f>N62/'1.Red. Purch. Cost Patient Care'!N84</f>
        <v>0.13057787543510097</v>
      </c>
      <c r="O132" s="149">
        <f>O62/'1.Red. Purch. Cost Patient Care'!O84</f>
        <v>0.13679586950343917</v>
      </c>
      <c r="P132" s="150">
        <f>P62/'1.Red. Purch. Cost Patient Care'!P84</f>
        <v>0.14330995852741243</v>
      </c>
      <c r="Q132" s="50"/>
      <c r="R132" s="50"/>
      <c r="S132" s="50"/>
      <c r="T132" s="50"/>
      <c r="U132" s="50"/>
      <c r="V132" s="50"/>
      <c r="W132" s="50"/>
      <c r="X132" s="50"/>
      <c r="Y132" s="50"/>
      <c r="Z132" s="50"/>
    </row>
    <row r="133" spans="1:26" ht="15.75" customHeight="1" x14ac:dyDescent="0.35">
      <c r="A133" s="50"/>
      <c r="B133" s="50"/>
      <c r="C133" s="63"/>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63"/>
      <c r="D134" s="50"/>
      <c r="E134" s="50"/>
      <c r="F134" s="12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63"/>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63"/>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63"/>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63"/>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63"/>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63"/>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63"/>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63"/>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63"/>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63"/>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63"/>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63"/>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63"/>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63"/>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63"/>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63"/>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63"/>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63"/>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63"/>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63"/>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63"/>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63"/>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63"/>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63"/>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63"/>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63"/>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63"/>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63"/>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63"/>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63"/>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63"/>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63"/>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63"/>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63"/>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63"/>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63"/>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63"/>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63"/>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63"/>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63"/>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63"/>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63"/>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63"/>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63"/>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63"/>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63"/>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63"/>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63"/>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63"/>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63"/>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63"/>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63"/>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63"/>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63"/>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63"/>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63"/>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63"/>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63"/>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63"/>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63"/>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63"/>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63"/>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63"/>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63"/>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63"/>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63"/>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63"/>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63"/>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63"/>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63"/>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63"/>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63"/>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63"/>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63"/>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63"/>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63"/>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63"/>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63"/>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63"/>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63"/>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63"/>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63"/>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63"/>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
      <c r="C265" s="262"/>
    </row>
    <row r="266" spans="1:26" ht="15.75" customHeight="1" x14ac:dyDescent="0.3">
      <c r="C266" s="262"/>
    </row>
    <row r="267" spans="1:26" ht="15.75" customHeight="1" x14ac:dyDescent="0.3">
      <c r="C267" s="262"/>
    </row>
    <row r="268" spans="1:26" ht="15.75" customHeight="1" x14ac:dyDescent="0.3">
      <c r="C268" s="262"/>
    </row>
    <row r="269" spans="1:26" ht="15.75" customHeight="1" x14ac:dyDescent="0.3">
      <c r="C269" s="262"/>
    </row>
    <row r="270" spans="1:26" ht="15.75" customHeight="1" x14ac:dyDescent="0.3">
      <c r="C270" s="262"/>
    </row>
    <row r="271" spans="1:26" ht="15.75" customHeight="1" x14ac:dyDescent="0.3">
      <c r="C271" s="262"/>
    </row>
    <row r="272" spans="1:26" ht="15.75" customHeight="1" x14ac:dyDescent="0.3">
      <c r="C272" s="262"/>
    </row>
    <row r="273" spans="3:3" ht="15.75" customHeight="1" x14ac:dyDescent="0.3">
      <c r="C273" s="262"/>
    </row>
    <row r="274" spans="3:3" ht="15.75" customHeight="1" x14ac:dyDescent="0.3">
      <c r="C274" s="262"/>
    </row>
    <row r="275" spans="3:3" ht="15.75" customHeight="1" x14ac:dyDescent="0.3">
      <c r="C275" s="262"/>
    </row>
    <row r="276" spans="3:3" ht="15.75" customHeight="1" x14ac:dyDescent="0.3">
      <c r="C276" s="262"/>
    </row>
    <row r="277" spans="3:3" ht="15.75" customHeight="1" x14ac:dyDescent="0.3">
      <c r="C277" s="262"/>
    </row>
    <row r="278" spans="3:3" ht="15.75" customHeight="1" x14ac:dyDescent="0.3">
      <c r="C278" s="262"/>
    </row>
    <row r="279" spans="3:3" ht="15.75" customHeight="1" x14ac:dyDescent="0.3">
      <c r="C279" s="262"/>
    </row>
    <row r="280" spans="3:3" ht="15.75" customHeight="1" x14ac:dyDescent="0.3">
      <c r="C280" s="262"/>
    </row>
    <row r="281" spans="3:3" ht="15.75" customHeight="1" x14ac:dyDescent="0.3">
      <c r="C281" s="262"/>
    </row>
    <row r="282" spans="3:3" ht="15.75" customHeight="1" x14ac:dyDescent="0.3">
      <c r="C282" s="262"/>
    </row>
    <row r="283" spans="3:3" ht="15.75" customHeight="1" x14ac:dyDescent="0.3">
      <c r="C283" s="262"/>
    </row>
    <row r="284" spans="3:3" ht="15.75" customHeight="1" x14ac:dyDescent="0.3">
      <c r="C284" s="262"/>
    </row>
    <row r="285" spans="3:3" ht="15.75" customHeight="1" x14ac:dyDescent="0.3">
      <c r="C285" s="262"/>
    </row>
    <row r="286" spans="3:3" ht="15.75" customHeight="1" x14ac:dyDescent="0.3">
      <c r="C286" s="262"/>
    </row>
    <row r="287" spans="3:3" ht="15.75" customHeight="1" x14ac:dyDescent="0.3">
      <c r="C287" s="262"/>
    </row>
    <row r="288" spans="3:3" ht="15.75" customHeight="1" x14ac:dyDescent="0.3">
      <c r="C288" s="262"/>
    </row>
    <row r="289" spans="3:3" ht="15.75" customHeight="1" x14ac:dyDescent="0.3">
      <c r="C289" s="262"/>
    </row>
    <row r="290" spans="3:3" ht="15.75" customHeight="1" x14ac:dyDescent="0.3">
      <c r="C290" s="262"/>
    </row>
    <row r="291" spans="3:3" ht="15.75" customHeight="1" x14ac:dyDescent="0.3">
      <c r="C291" s="262"/>
    </row>
    <row r="292" spans="3:3" ht="15.75" customHeight="1" x14ac:dyDescent="0.3">
      <c r="C292" s="262"/>
    </row>
    <row r="293" spans="3:3" ht="15.75" customHeight="1" x14ac:dyDescent="0.3">
      <c r="C293" s="262"/>
    </row>
    <row r="294" spans="3:3" ht="15.75" customHeight="1" x14ac:dyDescent="0.3">
      <c r="C294" s="262"/>
    </row>
    <row r="295" spans="3:3" ht="15.75" customHeight="1" x14ac:dyDescent="0.3">
      <c r="C295" s="262"/>
    </row>
    <row r="296" spans="3:3" ht="15.75" customHeight="1" x14ac:dyDescent="0.3">
      <c r="C296" s="262"/>
    </row>
    <row r="297" spans="3:3" ht="15.75" customHeight="1" x14ac:dyDescent="0.3">
      <c r="C297" s="262"/>
    </row>
    <row r="298" spans="3:3" ht="15.75" customHeight="1" x14ac:dyDescent="0.3">
      <c r="C298" s="262"/>
    </row>
    <row r="299" spans="3:3" ht="15.75" customHeight="1" x14ac:dyDescent="0.3">
      <c r="C299" s="262"/>
    </row>
    <row r="300" spans="3:3" ht="15.75" customHeight="1" x14ac:dyDescent="0.3">
      <c r="C300" s="262"/>
    </row>
    <row r="301" spans="3:3" ht="15.75" customHeight="1" x14ac:dyDescent="0.3">
      <c r="C301" s="262"/>
    </row>
    <row r="302" spans="3:3" ht="15.75" customHeight="1" x14ac:dyDescent="0.3">
      <c r="C302" s="262"/>
    </row>
    <row r="303" spans="3:3" ht="15.75" customHeight="1" x14ac:dyDescent="0.3">
      <c r="C303" s="262"/>
    </row>
    <row r="304" spans="3:3" ht="15.75" customHeight="1" x14ac:dyDescent="0.3">
      <c r="C304" s="262"/>
    </row>
    <row r="305" spans="3:3" ht="15.75" customHeight="1" x14ac:dyDescent="0.3">
      <c r="C305" s="262"/>
    </row>
    <row r="306" spans="3:3" ht="15.75" customHeight="1" x14ac:dyDescent="0.3">
      <c r="C306" s="262"/>
    </row>
    <row r="307" spans="3:3" ht="15.75" customHeight="1" x14ac:dyDescent="0.3">
      <c r="C307" s="262"/>
    </row>
    <row r="308" spans="3:3" ht="15.75" customHeight="1" x14ac:dyDescent="0.3">
      <c r="C308" s="262"/>
    </row>
    <row r="309" spans="3:3" ht="15.75" customHeight="1" x14ac:dyDescent="0.3">
      <c r="C309" s="262"/>
    </row>
    <row r="310" spans="3:3" ht="15.75" customHeight="1" x14ac:dyDescent="0.3">
      <c r="C310" s="262"/>
    </row>
    <row r="311" spans="3:3" ht="15.75" customHeight="1" x14ac:dyDescent="0.3">
      <c r="C311" s="262"/>
    </row>
    <row r="312" spans="3:3" ht="15.75" customHeight="1" x14ac:dyDescent="0.3">
      <c r="C312" s="262"/>
    </row>
    <row r="313" spans="3:3" ht="15.75" customHeight="1" x14ac:dyDescent="0.3">
      <c r="C313" s="262"/>
    </row>
    <row r="314" spans="3:3" ht="15.75" customHeight="1" x14ac:dyDescent="0.3">
      <c r="C314" s="262"/>
    </row>
    <row r="315" spans="3:3" ht="15.75" customHeight="1" x14ac:dyDescent="0.3">
      <c r="C315" s="262"/>
    </row>
    <row r="316" spans="3:3" ht="15.75" customHeight="1" x14ac:dyDescent="0.3">
      <c r="C316" s="262"/>
    </row>
    <row r="317" spans="3:3" ht="15.75" customHeight="1" x14ac:dyDescent="0.3">
      <c r="C317" s="262"/>
    </row>
    <row r="318" spans="3:3" ht="15.75" customHeight="1" x14ac:dyDescent="0.3">
      <c r="C318" s="262"/>
    </row>
    <row r="319" spans="3:3" ht="15.75" customHeight="1" x14ac:dyDescent="0.3">
      <c r="C319" s="262"/>
    </row>
    <row r="320" spans="3:3" ht="15.75" customHeight="1" x14ac:dyDescent="0.3">
      <c r="C320" s="262"/>
    </row>
    <row r="321" spans="3:3" ht="15.75" customHeight="1" x14ac:dyDescent="0.3">
      <c r="C321" s="262"/>
    </row>
    <row r="322" spans="3:3" ht="15.75" customHeight="1" x14ac:dyDescent="0.3">
      <c r="C322" s="262"/>
    </row>
    <row r="323" spans="3:3" ht="15.75" customHeight="1" x14ac:dyDescent="0.3">
      <c r="C323" s="262"/>
    </row>
    <row r="324" spans="3:3" ht="15.75" customHeight="1" x14ac:dyDescent="0.3">
      <c r="C324" s="262"/>
    </row>
    <row r="325" spans="3:3" ht="15.75" customHeight="1" x14ac:dyDescent="0.3">
      <c r="C325" s="262"/>
    </row>
    <row r="326" spans="3:3" ht="15.75" customHeight="1" x14ac:dyDescent="0.3">
      <c r="C326" s="262"/>
    </row>
    <row r="327" spans="3:3" ht="15.75" customHeight="1" x14ac:dyDescent="0.3">
      <c r="C327" s="262"/>
    </row>
    <row r="328" spans="3:3" ht="15.75" customHeight="1" x14ac:dyDescent="0.3">
      <c r="C328" s="262"/>
    </row>
    <row r="329" spans="3:3" ht="15.75" customHeight="1" x14ac:dyDescent="0.3">
      <c r="C329" s="262"/>
    </row>
    <row r="330" spans="3:3" ht="15.75" customHeight="1" x14ac:dyDescent="0.3">
      <c r="C330" s="262"/>
    </row>
    <row r="331" spans="3:3" ht="15.75" customHeight="1" x14ac:dyDescent="0.3">
      <c r="C331" s="262"/>
    </row>
    <row r="332" spans="3:3" ht="15.75" customHeight="1" x14ac:dyDescent="0.3">
      <c r="C332" s="262"/>
    </row>
    <row r="333" spans="3:3" ht="15.75" customHeight="1" x14ac:dyDescent="0.3"/>
    <row r="334" spans="3:3" ht="15.75" customHeight="1" x14ac:dyDescent="0.3"/>
    <row r="335" spans="3:3" ht="15.75" customHeight="1" x14ac:dyDescent="0.3"/>
    <row r="336" spans="3:3"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sheetData>
  <mergeCells count="9">
    <mergeCell ref="G11:L11"/>
    <mergeCell ref="D33:F33"/>
    <mergeCell ref="D91:F91"/>
    <mergeCell ref="D122:F122"/>
    <mergeCell ref="B4:D4"/>
    <mergeCell ref="B5:D5"/>
    <mergeCell ref="B6:D6"/>
    <mergeCell ref="B7:D7"/>
    <mergeCell ref="B8:D8"/>
  </mergeCells>
  <dataValidations count="1">
    <dataValidation type="list" allowBlank="1" showErrorMessage="1" sqref="D25" xr:uid="{00000000-0002-0000-0B00-000000000000}">
      <formula1>"High,Medium,Low"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74.8984375" customWidth="1"/>
    <col min="3" max="3" width="7.09765625" customWidth="1"/>
    <col min="4" max="4" width="16.59765625" customWidth="1"/>
    <col min="5" max="5" width="15" customWidth="1"/>
    <col min="6" max="7" width="17.09765625" customWidth="1"/>
    <col min="8" max="8" width="18.296875" customWidth="1"/>
    <col min="9" max="9" width="18" customWidth="1"/>
    <col min="10" max="10" width="17.0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182</v>
      </c>
      <c r="C2" s="32"/>
      <c r="D2" s="33" t="s">
        <v>183</v>
      </c>
      <c r="E2" s="77"/>
      <c r="F2" s="79"/>
      <c r="G2" s="32"/>
      <c r="H2" s="32"/>
      <c r="I2" s="32"/>
      <c r="J2" s="32"/>
      <c r="K2" s="32"/>
      <c r="L2" s="50"/>
      <c r="M2" s="50"/>
      <c r="N2" s="50"/>
      <c r="O2" s="50"/>
      <c r="P2" s="50"/>
      <c r="Q2" s="50"/>
      <c r="R2" s="50"/>
      <c r="S2" s="50"/>
      <c r="T2" s="50"/>
      <c r="U2" s="50"/>
      <c r="V2" s="50"/>
      <c r="W2" s="50"/>
      <c r="X2" s="50"/>
      <c r="Y2" s="50"/>
      <c r="Z2" s="50"/>
    </row>
    <row r="3" spans="1:26" ht="15.5" x14ac:dyDescent="0.35">
      <c r="A3" s="50"/>
      <c r="B3" s="31"/>
      <c r="C3" s="32"/>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70" t="s">
        <v>184</v>
      </c>
      <c r="C6" s="536"/>
      <c r="D6" s="571"/>
      <c r="E6" s="32"/>
      <c r="F6" s="32"/>
      <c r="G6" s="32"/>
      <c r="H6" s="32"/>
      <c r="I6" s="32"/>
      <c r="J6" s="32"/>
      <c r="K6" s="32"/>
      <c r="L6" s="50"/>
      <c r="M6" s="50"/>
      <c r="N6" s="50"/>
      <c r="O6" s="50"/>
      <c r="P6" s="50"/>
      <c r="Q6" s="50"/>
      <c r="R6" s="50"/>
      <c r="S6" s="50"/>
      <c r="T6" s="50"/>
      <c r="U6" s="50"/>
      <c r="V6" s="50"/>
      <c r="W6" s="50"/>
      <c r="X6" s="50"/>
      <c r="Y6" s="50"/>
      <c r="Z6" s="50"/>
    </row>
    <row r="7" spans="1:26" ht="15.5" x14ac:dyDescent="0.35">
      <c r="A7" s="50"/>
      <c r="B7" s="569"/>
      <c r="C7" s="546"/>
      <c r="D7" s="558"/>
      <c r="E7" s="32"/>
      <c r="F7" s="32"/>
      <c r="G7" s="32"/>
      <c r="H7" s="32"/>
      <c r="I7" s="32"/>
      <c r="J7" s="32"/>
      <c r="K7" s="32"/>
      <c r="L7" s="50"/>
      <c r="M7" s="50"/>
      <c r="N7" s="50"/>
      <c r="O7" s="50"/>
      <c r="P7" s="50"/>
      <c r="Q7" s="50"/>
      <c r="R7" s="50"/>
      <c r="S7" s="50"/>
      <c r="T7" s="50"/>
      <c r="U7" s="50"/>
      <c r="V7" s="50"/>
      <c r="W7" s="50"/>
      <c r="X7" s="50"/>
      <c r="Y7" s="50"/>
      <c r="Z7" s="50"/>
    </row>
    <row r="8" spans="1:26" ht="32.25" customHeight="1" x14ac:dyDescent="0.35">
      <c r="A8" s="50"/>
      <c r="B8" s="572"/>
      <c r="C8" s="573"/>
      <c r="D8" s="574"/>
      <c r="E8" s="575"/>
      <c r="F8" s="546"/>
      <c r="G8" s="534"/>
      <c r="H8" s="32"/>
      <c r="I8" s="32"/>
      <c r="J8" s="32"/>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165" t="s">
        <v>85</v>
      </c>
      <c r="C10" s="166"/>
      <c r="D10" s="166"/>
      <c r="E10" s="167"/>
      <c r="F10" s="167"/>
      <c r="G10" s="166" t="s">
        <v>187</v>
      </c>
      <c r="H10" s="168"/>
      <c r="I10" s="50"/>
      <c r="J10" s="50"/>
      <c r="K10" s="50"/>
      <c r="L10" s="50"/>
      <c r="M10" s="50"/>
      <c r="N10" s="50"/>
      <c r="O10" s="50"/>
      <c r="P10" s="50"/>
      <c r="Q10" s="50"/>
      <c r="R10" s="50"/>
      <c r="S10" s="50"/>
      <c r="T10" s="50"/>
      <c r="U10" s="50"/>
      <c r="V10" s="50"/>
      <c r="W10" s="50"/>
      <c r="X10" s="50"/>
      <c r="Y10" s="50"/>
      <c r="Z10" s="50"/>
    </row>
    <row r="11" spans="1:26" ht="15.75" customHeight="1" x14ac:dyDescent="0.35">
      <c r="A11" s="50"/>
      <c r="B11" s="169" t="s">
        <v>283</v>
      </c>
      <c r="C11" s="47" t="s">
        <v>109</v>
      </c>
      <c r="D11" s="263">
        <f>4.51%</f>
        <v>4.5100000000000001E-2</v>
      </c>
      <c r="E11" s="50"/>
      <c r="F11" s="50"/>
      <c r="G11" s="50" t="s">
        <v>284</v>
      </c>
      <c r="H11" s="115"/>
      <c r="I11" s="50"/>
      <c r="J11" s="50"/>
      <c r="K11" s="50"/>
      <c r="L11" s="50"/>
      <c r="M11" s="50"/>
      <c r="N11" s="50"/>
      <c r="O11" s="50"/>
      <c r="P11" s="50"/>
      <c r="Q11" s="50"/>
      <c r="R11" s="50"/>
      <c r="S11" s="50"/>
      <c r="T11" s="50"/>
      <c r="U11" s="50"/>
      <c r="V11" s="50"/>
      <c r="W11" s="50"/>
      <c r="X11" s="50"/>
      <c r="Y11" s="50"/>
      <c r="Z11" s="50"/>
    </row>
    <row r="12" spans="1:26" ht="15.75" customHeight="1" x14ac:dyDescent="0.35">
      <c r="A12" s="50"/>
      <c r="B12" s="169" t="s">
        <v>111</v>
      </c>
      <c r="C12" s="47" t="s">
        <v>109</v>
      </c>
      <c r="D12" s="264">
        <v>0.01</v>
      </c>
      <c r="E12" s="50"/>
      <c r="F12" s="50"/>
      <c r="G12" s="50" t="s">
        <v>285</v>
      </c>
      <c r="H12" s="115"/>
      <c r="I12" s="50"/>
      <c r="J12" s="50"/>
      <c r="K12" s="50"/>
      <c r="L12" s="50"/>
      <c r="M12" s="50"/>
      <c r="N12" s="50"/>
      <c r="O12" s="50"/>
      <c r="P12" s="50"/>
      <c r="Q12" s="50"/>
      <c r="R12" s="50"/>
      <c r="S12" s="50"/>
      <c r="T12" s="50"/>
      <c r="U12" s="50"/>
      <c r="V12" s="50"/>
      <c r="W12" s="50"/>
      <c r="X12" s="50"/>
      <c r="Y12" s="50"/>
      <c r="Z12" s="50"/>
    </row>
    <row r="13" spans="1:26" ht="15.75" customHeight="1" x14ac:dyDescent="0.35">
      <c r="A13" s="50"/>
      <c r="B13" s="169" t="s">
        <v>113</v>
      </c>
      <c r="C13" s="47" t="s">
        <v>109</v>
      </c>
      <c r="D13" s="98" t="s">
        <v>114</v>
      </c>
      <c r="E13" s="50"/>
      <c r="F13" s="50"/>
      <c r="G13" s="50"/>
      <c r="H13" s="115"/>
      <c r="I13" s="50"/>
      <c r="J13" s="50"/>
      <c r="K13" s="50"/>
      <c r="L13" s="50"/>
      <c r="M13" s="50"/>
      <c r="N13" s="50"/>
      <c r="O13" s="50"/>
      <c r="P13" s="50"/>
      <c r="Q13" s="50"/>
      <c r="R13" s="50"/>
      <c r="S13" s="50"/>
      <c r="T13" s="50"/>
      <c r="U13" s="50"/>
      <c r="V13" s="50"/>
      <c r="W13" s="50"/>
      <c r="X13" s="50"/>
      <c r="Y13" s="50"/>
      <c r="Z13" s="50"/>
    </row>
    <row r="14" spans="1:26" ht="15.75" customHeight="1" x14ac:dyDescent="0.35">
      <c r="A14" s="50"/>
      <c r="B14" s="169" t="s">
        <v>116</v>
      </c>
      <c r="C14" s="47" t="s">
        <v>109</v>
      </c>
      <c r="D14" s="171">
        <f>VLOOKUP(D13,B15:D17,3,FALSE)</f>
        <v>0.05</v>
      </c>
      <c r="E14" s="50"/>
      <c r="F14" s="50"/>
      <c r="G14" s="50"/>
      <c r="H14" s="115"/>
      <c r="I14" s="50"/>
      <c r="J14" s="50"/>
      <c r="K14" s="50"/>
      <c r="L14" s="50"/>
      <c r="M14" s="50"/>
      <c r="N14" s="50"/>
      <c r="O14" s="50"/>
      <c r="P14" s="50"/>
      <c r="Q14" s="50"/>
      <c r="R14" s="50"/>
      <c r="S14" s="50"/>
      <c r="T14" s="50"/>
      <c r="U14" s="50"/>
      <c r="V14" s="50"/>
      <c r="W14" s="50"/>
      <c r="X14" s="50"/>
      <c r="Y14" s="50"/>
      <c r="Z14" s="50"/>
    </row>
    <row r="15" spans="1:26" ht="15.75" customHeight="1" x14ac:dyDescent="0.35">
      <c r="A15" s="50"/>
      <c r="B15" s="172" t="s">
        <v>114</v>
      </c>
      <c r="C15" s="54" t="s">
        <v>109</v>
      </c>
      <c r="D15" s="173">
        <v>0.05</v>
      </c>
      <c r="E15" s="50"/>
      <c r="F15" s="50"/>
      <c r="G15" s="50" t="s">
        <v>192</v>
      </c>
      <c r="H15" s="115"/>
      <c r="I15" s="50"/>
      <c r="J15" s="50"/>
      <c r="K15" s="50"/>
      <c r="L15" s="50"/>
      <c r="M15" s="50"/>
      <c r="N15" s="50"/>
      <c r="O15" s="50"/>
      <c r="P15" s="50"/>
      <c r="Q15" s="50"/>
      <c r="R15" s="50"/>
      <c r="S15" s="50"/>
      <c r="T15" s="50"/>
      <c r="U15" s="50"/>
      <c r="V15" s="50"/>
      <c r="W15" s="50"/>
      <c r="X15" s="50"/>
      <c r="Y15" s="50"/>
      <c r="Z15" s="50"/>
    </row>
    <row r="16" spans="1:26" ht="15.75" customHeight="1" x14ac:dyDescent="0.35">
      <c r="A16" s="50"/>
      <c r="B16" s="172" t="s">
        <v>119</v>
      </c>
      <c r="C16" s="54" t="s">
        <v>109</v>
      </c>
      <c r="D16" s="173">
        <v>0.03</v>
      </c>
      <c r="E16" s="50"/>
      <c r="F16" s="50"/>
      <c r="G16" s="50" t="s">
        <v>192</v>
      </c>
      <c r="H16" s="115"/>
      <c r="I16" s="50"/>
      <c r="J16" s="50"/>
      <c r="K16" s="50"/>
      <c r="L16" s="50"/>
      <c r="M16" s="50"/>
      <c r="N16" s="50"/>
      <c r="O16" s="50"/>
      <c r="P16" s="50"/>
      <c r="Q16" s="50"/>
      <c r="R16" s="50"/>
      <c r="S16" s="50"/>
      <c r="T16" s="50"/>
      <c r="U16" s="50"/>
      <c r="V16" s="50"/>
      <c r="W16" s="50"/>
      <c r="X16" s="50"/>
      <c r="Y16" s="50"/>
      <c r="Z16" s="50"/>
    </row>
    <row r="17" spans="1:26" ht="15.75" customHeight="1" x14ac:dyDescent="0.35">
      <c r="A17" s="50"/>
      <c r="B17" s="172" t="s">
        <v>121</v>
      </c>
      <c r="C17" s="54" t="s">
        <v>109</v>
      </c>
      <c r="D17" s="173">
        <v>0.01</v>
      </c>
      <c r="E17" s="50"/>
      <c r="F17" s="50"/>
      <c r="G17" s="50" t="s">
        <v>192</v>
      </c>
      <c r="H17" s="115"/>
      <c r="I17" s="50"/>
      <c r="J17" s="50"/>
      <c r="K17" s="50"/>
      <c r="L17" s="50"/>
      <c r="M17" s="50"/>
      <c r="N17" s="50"/>
      <c r="O17" s="50"/>
      <c r="P17" s="50"/>
      <c r="Q17" s="50"/>
      <c r="R17" s="50"/>
      <c r="S17" s="50"/>
      <c r="T17" s="50"/>
      <c r="U17" s="50"/>
      <c r="V17" s="50"/>
      <c r="W17" s="50"/>
      <c r="X17" s="50"/>
      <c r="Y17" s="50"/>
      <c r="Z17" s="50"/>
    </row>
    <row r="18" spans="1:26" ht="15.75" customHeight="1" x14ac:dyDescent="0.35">
      <c r="A18" s="50"/>
      <c r="B18" s="169" t="s">
        <v>286</v>
      </c>
      <c r="C18" s="47" t="s">
        <v>109</v>
      </c>
      <c r="D18" s="265">
        <f>'Vasc. Items analysis'!F55</f>
        <v>0</v>
      </c>
      <c r="E18" s="50"/>
      <c r="F18" s="50"/>
      <c r="G18" s="50" t="s">
        <v>285</v>
      </c>
      <c r="H18" s="115"/>
      <c r="I18" s="50"/>
      <c r="J18" s="50"/>
      <c r="K18" s="50"/>
      <c r="L18" s="50"/>
      <c r="M18" s="50"/>
      <c r="N18" s="50"/>
      <c r="O18" s="50"/>
      <c r="P18" s="50"/>
      <c r="Q18" s="50"/>
      <c r="R18" s="50"/>
      <c r="S18" s="50"/>
      <c r="T18" s="50"/>
      <c r="U18" s="50"/>
      <c r="V18" s="50"/>
      <c r="W18" s="50"/>
      <c r="X18" s="50"/>
      <c r="Y18" s="50"/>
      <c r="Z18" s="50"/>
    </row>
    <row r="19" spans="1:26" ht="15.75" customHeight="1" x14ac:dyDescent="0.35">
      <c r="A19" s="50"/>
      <c r="B19" s="169" t="s">
        <v>127</v>
      </c>
      <c r="C19" s="47"/>
      <c r="D19" s="111">
        <v>0.1</v>
      </c>
      <c r="E19" s="50"/>
      <c r="F19" s="50"/>
      <c r="G19" s="50"/>
      <c r="H19" s="115"/>
      <c r="I19" s="50"/>
      <c r="J19" s="50"/>
      <c r="K19" s="50"/>
      <c r="L19" s="50"/>
      <c r="M19" s="50"/>
      <c r="N19" s="50"/>
      <c r="O19" s="50"/>
      <c r="P19" s="50"/>
      <c r="Q19" s="50"/>
      <c r="R19" s="50"/>
      <c r="S19" s="50"/>
      <c r="T19" s="50"/>
      <c r="U19" s="50"/>
      <c r="V19" s="50"/>
      <c r="W19" s="50"/>
      <c r="X19" s="50"/>
      <c r="Y19" s="50"/>
      <c r="Z19" s="50"/>
    </row>
    <row r="20" spans="1:26" ht="15.75" customHeight="1" x14ac:dyDescent="0.35">
      <c r="A20" s="50"/>
      <c r="B20" s="169"/>
      <c r="C20" s="47"/>
      <c r="D20" s="50"/>
      <c r="E20" s="50"/>
      <c r="F20" s="50"/>
      <c r="G20" s="50"/>
      <c r="H20" s="115"/>
      <c r="I20" s="50"/>
      <c r="J20" s="50"/>
      <c r="K20" s="266" t="s">
        <v>287</v>
      </c>
      <c r="L20" s="50"/>
      <c r="M20" s="50"/>
      <c r="N20" s="50"/>
      <c r="O20" s="50"/>
      <c r="P20" s="50"/>
      <c r="Q20" s="50"/>
      <c r="R20" s="50"/>
      <c r="S20" s="50"/>
      <c r="T20" s="50"/>
      <c r="U20" s="50"/>
      <c r="V20" s="50"/>
      <c r="W20" s="50"/>
      <c r="X20" s="50"/>
      <c r="Y20" s="50"/>
      <c r="Z20" s="50"/>
    </row>
    <row r="21" spans="1:26" ht="15.75" customHeight="1" x14ac:dyDescent="0.35">
      <c r="A21" s="50"/>
      <c r="B21" s="46" t="s">
        <v>288</v>
      </c>
      <c r="C21" s="47"/>
      <c r="D21" s="176">
        <v>2019</v>
      </c>
      <c r="E21" s="176">
        <v>2020</v>
      </c>
      <c r="F21" s="176">
        <v>2021</v>
      </c>
      <c r="G21" s="581" t="s">
        <v>197</v>
      </c>
      <c r="H21" s="115"/>
      <c r="I21" s="50"/>
      <c r="J21" s="50"/>
      <c r="K21" s="266" t="s">
        <v>289</v>
      </c>
      <c r="L21" s="50"/>
      <c r="M21" s="50"/>
      <c r="N21" s="50"/>
      <c r="O21" s="50"/>
      <c r="P21" s="50"/>
      <c r="Q21" s="50"/>
      <c r="R21" s="50"/>
      <c r="S21" s="50"/>
      <c r="T21" s="50"/>
      <c r="U21" s="50"/>
      <c r="V21" s="50"/>
      <c r="W21" s="50"/>
      <c r="X21" s="50"/>
      <c r="Y21" s="50"/>
      <c r="Z21" s="50"/>
    </row>
    <row r="22" spans="1:26" ht="15.75" customHeight="1" x14ac:dyDescent="0.35">
      <c r="A22" s="50"/>
      <c r="B22" s="53" t="s">
        <v>165</v>
      </c>
      <c r="C22" s="47" t="s">
        <v>94</v>
      </c>
      <c r="D22" s="90">
        <v>3211</v>
      </c>
      <c r="E22" s="186">
        <v>2234</v>
      </c>
      <c r="F22" s="90">
        <v>2031</v>
      </c>
      <c r="G22" s="582"/>
      <c r="H22" s="115"/>
      <c r="I22" s="50"/>
      <c r="J22" s="50"/>
      <c r="K22" s="266" t="s">
        <v>290</v>
      </c>
      <c r="L22" s="50"/>
      <c r="M22" s="50"/>
      <c r="N22" s="50"/>
      <c r="O22" s="50"/>
      <c r="P22" s="50"/>
      <c r="Q22" s="50"/>
      <c r="R22" s="50"/>
      <c r="S22" s="50"/>
      <c r="T22" s="50"/>
      <c r="U22" s="50"/>
      <c r="V22" s="50"/>
      <c r="W22" s="50"/>
      <c r="X22" s="50"/>
      <c r="Y22" s="50"/>
      <c r="Z22" s="50"/>
    </row>
    <row r="23" spans="1:26" ht="15.75" customHeight="1" x14ac:dyDescent="0.35">
      <c r="A23" s="50"/>
      <c r="B23" s="53" t="s">
        <v>166</v>
      </c>
      <c r="C23" s="47" t="s">
        <v>94</v>
      </c>
      <c r="D23" s="90">
        <v>158</v>
      </c>
      <c r="E23" s="186">
        <v>286</v>
      </c>
      <c r="F23" s="90">
        <v>475</v>
      </c>
      <c r="G23" s="582"/>
      <c r="H23" s="115"/>
      <c r="I23" s="50"/>
      <c r="J23" s="50"/>
      <c r="K23" s="266" t="s">
        <v>291</v>
      </c>
      <c r="L23" s="50"/>
      <c r="M23" s="50"/>
      <c r="N23" s="50"/>
      <c r="O23" s="50"/>
      <c r="P23" s="50"/>
      <c r="Q23" s="50"/>
      <c r="R23" s="50"/>
      <c r="S23" s="50"/>
      <c r="T23" s="50"/>
      <c r="U23" s="50"/>
      <c r="V23" s="50"/>
      <c r="W23" s="50"/>
      <c r="X23" s="50"/>
      <c r="Y23" s="50"/>
      <c r="Z23" s="50"/>
    </row>
    <row r="24" spans="1:26" ht="15.75" customHeight="1" x14ac:dyDescent="0.35">
      <c r="A24" s="50"/>
      <c r="B24" s="53" t="s">
        <v>172</v>
      </c>
      <c r="C24" s="47" t="s">
        <v>94</v>
      </c>
      <c r="D24" s="48">
        <v>1264</v>
      </c>
      <c r="E24" s="186">
        <v>1040</v>
      </c>
      <c r="F24" s="90">
        <v>1270</v>
      </c>
      <c r="G24" s="582"/>
      <c r="H24" s="115"/>
      <c r="I24" s="50"/>
      <c r="J24" s="50"/>
      <c r="K24" s="266" t="s">
        <v>292</v>
      </c>
      <c r="L24" s="50"/>
      <c r="M24" s="50"/>
      <c r="N24" s="50"/>
      <c r="O24" s="50"/>
      <c r="P24" s="50"/>
      <c r="Q24" s="50"/>
      <c r="R24" s="50"/>
      <c r="S24" s="50"/>
      <c r="T24" s="50"/>
      <c r="U24" s="50"/>
      <c r="V24" s="50"/>
      <c r="W24" s="50"/>
      <c r="X24" s="50"/>
      <c r="Y24" s="50"/>
      <c r="Z24" s="50"/>
    </row>
    <row r="25" spans="1:26" ht="15.75" customHeight="1" x14ac:dyDescent="0.35">
      <c r="A25" s="50"/>
      <c r="B25" s="53" t="s">
        <v>173</v>
      </c>
      <c r="C25" s="47" t="s">
        <v>94</v>
      </c>
      <c r="D25" s="48">
        <v>120</v>
      </c>
      <c r="E25" s="186">
        <v>68</v>
      </c>
      <c r="F25" s="90">
        <v>58</v>
      </c>
      <c r="G25" s="582"/>
      <c r="H25" s="115"/>
      <c r="I25" s="50"/>
      <c r="J25" s="50"/>
      <c r="K25" s="266" t="s">
        <v>293</v>
      </c>
      <c r="L25" s="50"/>
      <c r="M25" s="50"/>
      <c r="N25" s="50"/>
      <c r="O25" s="50"/>
      <c r="P25" s="50"/>
      <c r="Q25" s="50"/>
      <c r="R25" s="50"/>
      <c r="S25" s="50"/>
      <c r="T25" s="50"/>
      <c r="U25" s="50"/>
      <c r="V25" s="50"/>
      <c r="W25" s="50"/>
      <c r="X25" s="50"/>
      <c r="Y25" s="50"/>
      <c r="Z25" s="50"/>
    </row>
    <row r="26" spans="1:26" ht="15.75" customHeight="1" x14ac:dyDescent="0.35">
      <c r="A26" s="50"/>
      <c r="B26" s="53" t="s">
        <v>175</v>
      </c>
      <c r="C26" s="47" t="s">
        <v>94</v>
      </c>
      <c r="D26" s="48">
        <v>0</v>
      </c>
      <c r="E26" s="186">
        <v>0</v>
      </c>
      <c r="F26" s="90">
        <v>0</v>
      </c>
      <c r="G26" s="582"/>
      <c r="H26" s="115"/>
      <c r="I26" s="50"/>
      <c r="J26" s="50"/>
      <c r="K26" s="266" t="s">
        <v>294</v>
      </c>
      <c r="L26" s="50"/>
      <c r="M26" s="50"/>
      <c r="N26" s="50"/>
      <c r="O26" s="50"/>
      <c r="P26" s="50"/>
      <c r="Q26" s="50"/>
      <c r="R26" s="50"/>
      <c r="S26" s="50"/>
      <c r="T26" s="50"/>
      <c r="U26" s="50"/>
      <c r="V26" s="50"/>
      <c r="W26" s="50"/>
      <c r="X26" s="50"/>
      <c r="Y26" s="50"/>
      <c r="Z26" s="50"/>
    </row>
    <row r="27" spans="1:26" ht="15.75" customHeight="1" x14ac:dyDescent="0.35">
      <c r="A27" s="50"/>
      <c r="B27" s="53" t="s">
        <v>200</v>
      </c>
      <c r="C27" s="47" t="s">
        <v>94</v>
      </c>
      <c r="D27" s="177">
        <f t="shared" ref="D27:F27" si="0">SUM(D22:D26)</f>
        <v>4753</v>
      </c>
      <c r="E27" s="177">
        <f t="shared" si="0"/>
        <v>3628</v>
      </c>
      <c r="F27" s="177">
        <f t="shared" si="0"/>
        <v>3834</v>
      </c>
      <c r="G27" s="583"/>
      <c r="H27" s="115"/>
      <c r="I27" s="50"/>
      <c r="J27" s="50"/>
      <c r="K27" s="266" t="s">
        <v>295</v>
      </c>
      <c r="L27" s="50"/>
      <c r="M27" s="50"/>
      <c r="N27" s="50"/>
      <c r="O27" s="50"/>
      <c r="P27" s="50"/>
      <c r="Q27" s="50"/>
      <c r="R27" s="50"/>
      <c r="S27" s="50"/>
      <c r="T27" s="50"/>
      <c r="U27" s="50"/>
      <c r="V27" s="50"/>
      <c r="W27" s="50"/>
      <c r="X27" s="50"/>
      <c r="Y27" s="50"/>
      <c r="Z27" s="50"/>
    </row>
    <row r="28" spans="1:26" ht="15.75" customHeight="1" x14ac:dyDescent="0.35">
      <c r="A28" s="50"/>
      <c r="B28" s="46"/>
      <c r="C28" s="47"/>
      <c r="D28" s="176">
        <v>2019</v>
      </c>
      <c r="E28" s="176">
        <v>2020</v>
      </c>
      <c r="F28" s="176">
        <v>2021</v>
      </c>
      <c r="G28" s="50"/>
      <c r="H28" s="115"/>
      <c r="I28" s="50"/>
      <c r="J28" s="50"/>
      <c r="K28" s="266" t="s">
        <v>296</v>
      </c>
      <c r="L28" s="50"/>
      <c r="M28" s="50"/>
      <c r="N28" s="50"/>
      <c r="O28" s="50"/>
      <c r="P28" s="50"/>
      <c r="Q28" s="50"/>
      <c r="R28" s="50"/>
      <c r="S28" s="50"/>
      <c r="T28" s="50"/>
      <c r="U28" s="50"/>
      <c r="V28" s="50"/>
      <c r="W28" s="50"/>
      <c r="X28" s="50"/>
      <c r="Y28" s="50"/>
      <c r="Z28" s="50"/>
    </row>
    <row r="29" spans="1:26" ht="15.75" customHeight="1" x14ac:dyDescent="0.35">
      <c r="A29" s="50"/>
      <c r="B29" s="175" t="s">
        <v>210</v>
      </c>
      <c r="C29" s="47" t="s">
        <v>94</v>
      </c>
      <c r="D29" s="245">
        <v>5252221</v>
      </c>
      <c r="E29" s="245">
        <v>4938423</v>
      </c>
      <c r="F29" s="245">
        <v>5206013.5</v>
      </c>
      <c r="G29" s="50" t="s">
        <v>211</v>
      </c>
      <c r="H29" s="115"/>
      <c r="I29" s="50"/>
      <c r="J29" s="50"/>
      <c r="K29" s="266" t="s">
        <v>297</v>
      </c>
      <c r="L29" s="50"/>
      <c r="M29" s="50"/>
      <c r="N29" s="50"/>
      <c r="O29" s="50"/>
      <c r="P29" s="50"/>
      <c r="Q29" s="50"/>
      <c r="R29" s="50"/>
      <c r="S29" s="50"/>
      <c r="T29" s="50"/>
      <c r="U29" s="50"/>
      <c r="V29" s="50"/>
      <c r="W29" s="50"/>
      <c r="X29" s="50"/>
      <c r="Y29" s="50"/>
      <c r="Z29" s="50"/>
    </row>
    <row r="30" spans="1:26" ht="15.75" customHeight="1" x14ac:dyDescent="0.35">
      <c r="A30" s="50"/>
      <c r="B30" s="175" t="s">
        <v>298</v>
      </c>
      <c r="C30" s="47" t="s">
        <v>94</v>
      </c>
      <c r="D30" s="90">
        <v>34304</v>
      </c>
      <c r="E30" s="90">
        <v>24384</v>
      </c>
      <c r="F30" s="90">
        <v>26363</v>
      </c>
      <c r="G30" s="50" t="s">
        <v>197</v>
      </c>
      <c r="H30" s="115"/>
      <c r="I30" s="50"/>
      <c r="J30" s="50"/>
      <c r="K30" s="266" t="s">
        <v>299</v>
      </c>
      <c r="L30" s="50"/>
      <c r="M30" s="50"/>
      <c r="N30" s="50"/>
      <c r="O30" s="50"/>
      <c r="P30" s="50"/>
      <c r="Q30" s="50"/>
      <c r="R30" s="50"/>
      <c r="S30" s="50"/>
      <c r="T30" s="50"/>
      <c r="U30" s="50"/>
      <c r="V30" s="50"/>
      <c r="W30" s="50"/>
      <c r="X30" s="50"/>
      <c r="Y30" s="50"/>
      <c r="Z30" s="50"/>
    </row>
    <row r="31" spans="1:26" ht="15.75" customHeight="1" x14ac:dyDescent="0.35">
      <c r="A31" s="50"/>
      <c r="B31" s="175" t="s">
        <v>300</v>
      </c>
      <c r="C31" s="47" t="s">
        <v>94</v>
      </c>
      <c r="D31" s="90">
        <v>4753</v>
      </c>
      <c r="E31" s="90">
        <v>3628</v>
      </c>
      <c r="F31" s="90">
        <v>3834</v>
      </c>
      <c r="G31" s="50" t="s">
        <v>197</v>
      </c>
      <c r="H31" s="115"/>
      <c r="I31" s="50"/>
      <c r="J31" s="50"/>
      <c r="K31" s="50"/>
      <c r="L31" s="50"/>
      <c r="M31" s="50"/>
      <c r="N31" s="50"/>
      <c r="O31" s="50"/>
      <c r="P31" s="50"/>
      <c r="Q31" s="50"/>
      <c r="R31" s="50"/>
      <c r="S31" s="50"/>
      <c r="T31" s="50"/>
      <c r="U31" s="50"/>
      <c r="V31" s="50"/>
      <c r="W31" s="50"/>
      <c r="X31" s="50"/>
      <c r="Y31" s="50"/>
      <c r="Z31" s="50"/>
    </row>
    <row r="32" spans="1:26" ht="15.75" customHeight="1" x14ac:dyDescent="0.35">
      <c r="A32" s="50"/>
      <c r="B32" s="53" t="s">
        <v>200</v>
      </c>
      <c r="C32" s="47" t="s">
        <v>94</v>
      </c>
      <c r="D32" s="187">
        <f t="shared" ref="D32:F32" si="1">D30+D31</f>
        <v>39057</v>
      </c>
      <c r="E32" s="187">
        <f t="shared" si="1"/>
        <v>28012</v>
      </c>
      <c r="F32" s="187">
        <f t="shared" si="1"/>
        <v>30197</v>
      </c>
      <c r="G32" s="50" t="s">
        <v>117</v>
      </c>
      <c r="H32" s="115"/>
      <c r="I32" s="50"/>
      <c r="J32" s="50"/>
      <c r="K32" s="50"/>
      <c r="L32" s="50"/>
      <c r="M32" s="50"/>
      <c r="N32" s="50"/>
      <c r="O32" s="50"/>
      <c r="P32" s="50"/>
      <c r="Q32" s="50"/>
      <c r="R32" s="50"/>
      <c r="S32" s="50"/>
      <c r="T32" s="50"/>
      <c r="U32" s="50"/>
      <c r="V32" s="50"/>
      <c r="W32" s="50"/>
      <c r="X32" s="50"/>
      <c r="Y32" s="50"/>
      <c r="Z32" s="50"/>
    </row>
    <row r="33" spans="1:26" ht="15.75" customHeight="1" x14ac:dyDescent="0.35">
      <c r="A33" s="50"/>
      <c r="B33" s="53" t="s">
        <v>301</v>
      </c>
      <c r="C33" s="47" t="s">
        <v>109</v>
      </c>
      <c r="D33" s="191">
        <f t="shared" ref="D33:F33" si="2">D32/D29</f>
        <v>7.4362826697505682E-3</v>
      </c>
      <c r="E33" s="191">
        <f t="shared" si="2"/>
        <v>5.6722561028085278E-3</v>
      </c>
      <c r="F33" s="191">
        <f t="shared" si="2"/>
        <v>5.8004075479251059E-3</v>
      </c>
      <c r="G33" s="50" t="s">
        <v>117</v>
      </c>
      <c r="H33" s="115"/>
      <c r="I33" s="50"/>
      <c r="J33" s="50"/>
      <c r="K33" s="50"/>
      <c r="L33" s="50"/>
      <c r="M33" s="50"/>
      <c r="N33" s="50"/>
      <c r="O33" s="50"/>
      <c r="P33" s="50"/>
      <c r="Q33" s="50"/>
      <c r="R33" s="50"/>
      <c r="S33" s="50"/>
      <c r="T33" s="50"/>
      <c r="U33" s="50"/>
      <c r="V33" s="50"/>
      <c r="W33" s="50"/>
      <c r="X33" s="50"/>
      <c r="Y33" s="50"/>
      <c r="Z33" s="50"/>
    </row>
    <row r="34" spans="1:26" ht="15.75" customHeight="1" x14ac:dyDescent="0.35">
      <c r="A34" s="50"/>
      <c r="B34" s="53"/>
      <c r="C34" s="47"/>
      <c r="D34" s="191"/>
      <c r="E34" s="191"/>
      <c r="F34" s="191"/>
      <c r="G34" s="50"/>
      <c r="H34" s="115"/>
      <c r="I34" s="50"/>
      <c r="J34" s="50"/>
      <c r="K34" s="50"/>
      <c r="L34" s="50"/>
      <c r="M34" s="50"/>
      <c r="N34" s="50"/>
      <c r="O34" s="50"/>
      <c r="P34" s="50"/>
      <c r="Q34" s="50"/>
      <c r="R34" s="50"/>
      <c r="S34" s="50"/>
      <c r="T34" s="50"/>
      <c r="U34" s="50"/>
      <c r="V34" s="50"/>
      <c r="W34" s="50"/>
      <c r="X34" s="50"/>
      <c r="Y34" s="50"/>
      <c r="Z34" s="50"/>
    </row>
    <row r="35" spans="1:26" ht="15.75" customHeight="1" x14ac:dyDescent="0.35">
      <c r="A35" s="50"/>
      <c r="B35" s="46" t="s">
        <v>302</v>
      </c>
      <c r="C35" s="47"/>
      <c r="D35" s="176">
        <v>2019</v>
      </c>
      <c r="E35" s="176">
        <v>2020</v>
      </c>
      <c r="F35" s="176">
        <v>2021</v>
      </c>
      <c r="G35" s="50"/>
      <c r="H35" s="115"/>
      <c r="I35" s="50"/>
      <c r="J35" s="50"/>
      <c r="K35" s="50"/>
      <c r="L35" s="50"/>
      <c r="M35" s="50"/>
      <c r="N35" s="50"/>
      <c r="O35" s="50"/>
      <c r="P35" s="50"/>
      <c r="Q35" s="50"/>
      <c r="R35" s="50"/>
      <c r="S35" s="50"/>
      <c r="T35" s="50"/>
      <c r="U35" s="50"/>
      <c r="V35" s="50"/>
      <c r="W35" s="50"/>
      <c r="X35" s="50"/>
      <c r="Y35" s="50"/>
      <c r="Z35" s="50"/>
    </row>
    <row r="36" spans="1:26" ht="15.75" customHeight="1" x14ac:dyDescent="0.35">
      <c r="A36" s="50"/>
      <c r="B36" s="53" t="s">
        <v>165</v>
      </c>
      <c r="C36" s="47" t="s">
        <v>202</v>
      </c>
      <c r="D36" s="267">
        <v>124.70414201183432</v>
      </c>
      <c r="E36" s="267">
        <v>115.36034019695613</v>
      </c>
      <c r="F36" s="267">
        <v>92.68882323978336</v>
      </c>
      <c r="G36" s="50"/>
      <c r="H36" s="115"/>
      <c r="I36" s="50"/>
      <c r="J36" s="50"/>
      <c r="K36" s="50"/>
      <c r="L36" s="50"/>
      <c r="M36" s="50"/>
      <c r="N36" s="50"/>
      <c r="O36" s="50"/>
      <c r="P36" s="50"/>
      <c r="Q36" s="50"/>
      <c r="R36" s="50"/>
      <c r="S36" s="50"/>
      <c r="T36" s="50"/>
      <c r="U36" s="50"/>
      <c r="V36" s="50"/>
      <c r="W36" s="50"/>
      <c r="X36" s="50"/>
      <c r="Y36" s="50"/>
      <c r="Z36" s="50"/>
    </row>
    <row r="37" spans="1:26" ht="15.75" customHeight="1" x14ac:dyDescent="0.35">
      <c r="A37" s="50"/>
      <c r="B37" s="53" t="s">
        <v>166</v>
      </c>
      <c r="C37" s="47" t="s">
        <v>202</v>
      </c>
      <c r="D37" s="267">
        <v>1080.8924050632911</v>
      </c>
      <c r="E37" s="267">
        <v>1285.5769230769231</v>
      </c>
      <c r="F37" s="267">
        <v>1482.4105263157894</v>
      </c>
      <c r="G37" s="50"/>
      <c r="H37" s="115"/>
      <c r="I37" s="50"/>
      <c r="J37" s="50"/>
      <c r="K37" s="50"/>
      <c r="L37" s="50"/>
      <c r="M37" s="50"/>
      <c r="N37" s="50"/>
      <c r="O37" s="50"/>
      <c r="P37" s="50"/>
      <c r="Q37" s="50"/>
      <c r="R37" s="50"/>
      <c r="S37" s="50"/>
      <c r="T37" s="50"/>
      <c r="U37" s="50"/>
      <c r="V37" s="50"/>
      <c r="W37" s="50"/>
      <c r="X37" s="50"/>
      <c r="Y37" s="50"/>
      <c r="Z37" s="50"/>
    </row>
    <row r="38" spans="1:26" ht="15.75" customHeight="1" x14ac:dyDescent="0.35">
      <c r="A38" s="50"/>
      <c r="B38" s="53" t="s">
        <v>172</v>
      </c>
      <c r="C38" s="47" t="s">
        <v>202</v>
      </c>
      <c r="D38" s="268">
        <v>122.29272151898734</v>
      </c>
      <c r="E38" s="267">
        <v>122.18557692307692</v>
      </c>
      <c r="F38" s="267">
        <v>114.96377952755905</v>
      </c>
      <c r="G38" s="50"/>
      <c r="H38" s="115"/>
      <c r="I38" s="50"/>
      <c r="J38" s="50"/>
      <c r="K38" s="50"/>
      <c r="L38" s="50"/>
      <c r="M38" s="50"/>
      <c r="N38" s="50"/>
      <c r="O38" s="50"/>
      <c r="P38" s="50"/>
      <c r="Q38" s="50"/>
      <c r="R38" s="50"/>
      <c r="S38" s="50"/>
      <c r="T38" s="50"/>
      <c r="U38" s="50"/>
      <c r="V38" s="50"/>
      <c r="W38" s="50"/>
      <c r="X38" s="50"/>
      <c r="Y38" s="50"/>
      <c r="Z38" s="50"/>
    </row>
    <row r="39" spans="1:26" ht="15.75" customHeight="1" x14ac:dyDescent="0.35">
      <c r="A39" s="50"/>
      <c r="B39" s="53" t="s">
        <v>173</v>
      </c>
      <c r="C39" s="47" t="s">
        <v>202</v>
      </c>
      <c r="D39" s="268">
        <v>544.25</v>
      </c>
      <c r="E39" s="267">
        <v>536.76470588235293</v>
      </c>
      <c r="F39" s="267">
        <v>497.75862068965517</v>
      </c>
      <c r="G39" s="50"/>
      <c r="H39" s="115"/>
      <c r="I39" s="50"/>
      <c r="J39" s="50"/>
      <c r="K39" s="50"/>
      <c r="L39" s="50"/>
      <c r="M39" s="50"/>
      <c r="N39" s="50"/>
      <c r="O39" s="50"/>
      <c r="P39" s="50"/>
      <c r="Q39" s="50"/>
      <c r="R39" s="50"/>
      <c r="S39" s="50"/>
      <c r="T39" s="50"/>
      <c r="U39" s="50"/>
      <c r="V39" s="50"/>
      <c r="W39" s="50"/>
      <c r="X39" s="50"/>
      <c r="Y39" s="50"/>
      <c r="Z39" s="50"/>
    </row>
    <row r="40" spans="1:26" ht="15.75" customHeight="1" x14ac:dyDescent="0.35">
      <c r="A40" s="50"/>
      <c r="B40" s="53" t="s">
        <v>175</v>
      </c>
      <c r="C40" s="47" t="s">
        <v>202</v>
      </c>
      <c r="D40" s="268" t="s">
        <v>303</v>
      </c>
      <c r="E40" s="267" t="s">
        <v>303</v>
      </c>
      <c r="F40" s="267" t="s">
        <v>303</v>
      </c>
      <c r="G40" s="50"/>
      <c r="H40" s="115"/>
      <c r="I40" s="50"/>
      <c r="J40" s="50"/>
      <c r="K40" s="50"/>
      <c r="L40" s="50"/>
      <c r="M40" s="50"/>
      <c r="N40" s="50"/>
      <c r="O40" s="50"/>
      <c r="P40" s="50"/>
      <c r="Q40" s="50"/>
      <c r="R40" s="50"/>
      <c r="S40" s="50"/>
      <c r="T40" s="50"/>
      <c r="U40" s="50"/>
      <c r="V40" s="50"/>
      <c r="W40" s="50"/>
      <c r="X40" s="50"/>
      <c r="Y40" s="50"/>
      <c r="Z40" s="50"/>
    </row>
    <row r="41" spans="1:26" ht="15.75" customHeight="1" x14ac:dyDescent="0.35">
      <c r="A41" s="50"/>
      <c r="B41" s="58" t="s">
        <v>304</v>
      </c>
      <c r="C41" s="47" t="s">
        <v>202</v>
      </c>
      <c r="D41" s="187">
        <f t="shared" ref="D41:F41" si="3">AVERAGE(D36:D39)</f>
        <v>468.03481714852819</v>
      </c>
      <c r="E41" s="187">
        <f t="shared" si="3"/>
        <v>514.97188651982719</v>
      </c>
      <c r="F41" s="187">
        <f t="shared" si="3"/>
        <v>546.95543744319684</v>
      </c>
      <c r="G41" s="50"/>
      <c r="H41" s="115"/>
      <c r="I41" s="50"/>
      <c r="J41" s="50"/>
      <c r="K41" s="50"/>
      <c r="L41" s="50"/>
      <c r="M41" s="50"/>
      <c r="N41" s="50"/>
      <c r="O41" s="50"/>
      <c r="P41" s="50"/>
      <c r="Q41" s="50"/>
      <c r="R41" s="50"/>
      <c r="S41" s="50"/>
      <c r="T41" s="50"/>
      <c r="U41" s="50"/>
      <c r="V41" s="50"/>
      <c r="W41" s="50"/>
      <c r="X41" s="50"/>
      <c r="Y41" s="50"/>
      <c r="Z41" s="50"/>
    </row>
    <row r="42" spans="1:26" ht="15.75" customHeight="1" x14ac:dyDescent="0.35">
      <c r="A42" s="50"/>
      <c r="B42" s="46" t="s">
        <v>305</v>
      </c>
      <c r="C42" s="47"/>
      <c r="D42" s="176">
        <v>2019</v>
      </c>
      <c r="E42" s="176">
        <v>2020</v>
      </c>
      <c r="F42" s="176">
        <v>2021</v>
      </c>
      <c r="G42" s="50"/>
      <c r="H42" s="115"/>
      <c r="I42" s="50"/>
      <c r="J42" s="50"/>
      <c r="K42" s="50"/>
      <c r="L42" s="50"/>
      <c r="M42" s="50"/>
      <c r="N42" s="50"/>
      <c r="O42" s="50"/>
      <c r="P42" s="50"/>
      <c r="Q42" s="50"/>
      <c r="R42" s="50"/>
      <c r="S42" s="50"/>
      <c r="T42" s="50"/>
      <c r="U42" s="50"/>
      <c r="V42" s="50"/>
      <c r="W42" s="50"/>
      <c r="X42" s="50"/>
      <c r="Y42" s="50"/>
      <c r="Z42" s="50"/>
    </row>
    <row r="43" spans="1:26" ht="15.75" customHeight="1" x14ac:dyDescent="0.35">
      <c r="A43" s="50"/>
      <c r="B43" s="53" t="s">
        <v>165</v>
      </c>
      <c r="C43" s="47" t="s">
        <v>202</v>
      </c>
      <c r="D43" s="180">
        <v>328.3132980379944</v>
      </c>
      <c r="E43" s="180">
        <v>313.68218442256045</v>
      </c>
      <c r="F43" s="180">
        <v>254.57951747907435</v>
      </c>
      <c r="G43" s="50"/>
      <c r="H43" s="115"/>
      <c r="I43" s="50"/>
      <c r="J43" s="50"/>
      <c r="K43" s="50"/>
      <c r="L43" s="50"/>
      <c r="M43" s="50"/>
      <c r="N43" s="50"/>
      <c r="O43" s="50"/>
      <c r="P43" s="50"/>
      <c r="Q43" s="50"/>
      <c r="R43" s="50"/>
      <c r="S43" s="50"/>
      <c r="T43" s="50"/>
      <c r="U43" s="50"/>
      <c r="V43" s="50"/>
      <c r="W43" s="50"/>
      <c r="X43" s="50"/>
      <c r="Y43" s="50"/>
      <c r="Z43" s="50"/>
    </row>
    <row r="44" spans="1:26" ht="15.75" customHeight="1" x14ac:dyDescent="0.35">
      <c r="A44" s="50"/>
      <c r="B44" s="53" t="s">
        <v>166</v>
      </c>
      <c r="C44" s="47" t="s">
        <v>202</v>
      </c>
      <c r="D44" s="180">
        <v>2528.5189873417721</v>
      </c>
      <c r="E44" s="180">
        <v>2281.9195804195806</v>
      </c>
      <c r="F44" s="180">
        <v>2110.9221052631578</v>
      </c>
      <c r="G44" s="50"/>
      <c r="H44" s="115"/>
      <c r="I44" s="50"/>
      <c r="J44" s="50"/>
      <c r="K44" s="50"/>
      <c r="L44" s="50"/>
      <c r="M44" s="50"/>
      <c r="N44" s="50"/>
      <c r="O44" s="50"/>
      <c r="P44" s="50"/>
      <c r="Q44" s="50"/>
      <c r="R44" s="50"/>
      <c r="S44" s="50"/>
      <c r="T44" s="50"/>
      <c r="U44" s="50"/>
      <c r="V44" s="50"/>
      <c r="W44" s="50"/>
      <c r="X44" s="50"/>
      <c r="Y44" s="50"/>
      <c r="Z44" s="50"/>
    </row>
    <row r="45" spans="1:26" ht="15.75" customHeight="1" x14ac:dyDescent="0.35">
      <c r="A45" s="50"/>
      <c r="B45" s="53" t="s">
        <v>172</v>
      </c>
      <c r="C45" s="47" t="s">
        <v>202</v>
      </c>
      <c r="D45" s="181">
        <v>267.48180379746833</v>
      </c>
      <c r="E45" s="180">
        <v>293.38942307692309</v>
      </c>
      <c r="F45" s="180">
        <v>249.88818897637793</v>
      </c>
      <c r="G45" s="50"/>
      <c r="H45" s="115"/>
      <c r="I45" s="50"/>
      <c r="J45" s="50"/>
      <c r="K45" s="50"/>
      <c r="L45" s="50"/>
      <c r="M45" s="50"/>
      <c r="N45" s="50"/>
      <c r="O45" s="50"/>
      <c r="P45" s="50"/>
      <c r="Q45" s="50"/>
      <c r="R45" s="50"/>
      <c r="S45" s="50"/>
      <c r="T45" s="50"/>
      <c r="U45" s="50"/>
      <c r="V45" s="50"/>
      <c r="W45" s="50"/>
      <c r="X45" s="50"/>
      <c r="Y45" s="50"/>
      <c r="Z45" s="50"/>
    </row>
    <row r="46" spans="1:26" ht="15.75" customHeight="1" x14ac:dyDescent="0.35">
      <c r="A46" s="50"/>
      <c r="B46" s="53" t="s">
        <v>173</v>
      </c>
      <c r="C46" s="47" t="s">
        <v>202</v>
      </c>
      <c r="D46" s="181">
        <v>895</v>
      </c>
      <c r="E46" s="180">
        <v>895</v>
      </c>
      <c r="F46" s="180">
        <v>848.70689655172418</v>
      </c>
      <c r="G46" s="50"/>
      <c r="H46" s="115"/>
      <c r="I46" s="50"/>
      <c r="J46" s="50"/>
      <c r="K46" s="50"/>
      <c r="L46" s="50"/>
      <c r="M46" s="50"/>
      <c r="N46" s="50"/>
      <c r="O46" s="50"/>
      <c r="P46" s="50"/>
      <c r="Q46" s="50"/>
      <c r="R46" s="50"/>
      <c r="S46" s="50"/>
      <c r="T46" s="50"/>
      <c r="U46" s="50"/>
      <c r="V46" s="50"/>
      <c r="W46" s="50"/>
      <c r="X46" s="50"/>
      <c r="Y46" s="50"/>
      <c r="Z46" s="50"/>
    </row>
    <row r="47" spans="1:26" ht="15.75" customHeight="1" x14ac:dyDescent="0.35">
      <c r="A47" s="50"/>
      <c r="B47" s="53" t="s">
        <v>175</v>
      </c>
      <c r="C47" s="47" t="s">
        <v>202</v>
      </c>
      <c r="D47" s="181">
        <v>0</v>
      </c>
      <c r="E47" s="180">
        <v>0</v>
      </c>
      <c r="F47" s="180">
        <v>0</v>
      </c>
      <c r="G47" s="50"/>
      <c r="H47" s="115"/>
      <c r="I47" s="50"/>
      <c r="J47" s="50"/>
      <c r="K47" s="50"/>
      <c r="L47" s="50"/>
      <c r="M47" s="50"/>
      <c r="N47" s="50"/>
      <c r="O47" s="50"/>
      <c r="P47" s="50"/>
      <c r="Q47" s="50"/>
      <c r="R47" s="50"/>
      <c r="S47" s="50"/>
      <c r="T47" s="50"/>
      <c r="U47" s="50"/>
      <c r="V47" s="50"/>
      <c r="W47" s="50"/>
      <c r="X47" s="50"/>
      <c r="Y47" s="50"/>
      <c r="Z47" s="50"/>
    </row>
    <row r="48" spans="1:26" ht="15.75" customHeight="1" x14ac:dyDescent="0.35">
      <c r="A48" s="50"/>
      <c r="B48" s="58" t="s">
        <v>304</v>
      </c>
      <c r="C48" s="47" t="s">
        <v>202</v>
      </c>
      <c r="D48" s="187">
        <f t="shared" ref="D48:F48" si="4">AVERAGE(D43:D46)</f>
        <v>1004.8285222943086</v>
      </c>
      <c r="E48" s="187">
        <f t="shared" si="4"/>
        <v>945.99779697976601</v>
      </c>
      <c r="F48" s="187">
        <f t="shared" si="4"/>
        <v>866.02417706758354</v>
      </c>
      <c r="G48" s="50"/>
      <c r="H48" s="115"/>
      <c r="I48" s="50"/>
      <c r="J48" s="50"/>
      <c r="K48" s="50"/>
      <c r="L48" s="50"/>
      <c r="M48" s="50"/>
      <c r="N48" s="50"/>
      <c r="O48" s="50"/>
      <c r="P48" s="50"/>
      <c r="Q48" s="50"/>
      <c r="R48" s="50"/>
      <c r="S48" s="50"/>
      <c r="T48" s="50"/>
      <c r="U48" s="50"/>
      <c r="V48" s="50"/>
      <c r="W48" s="50"/>
      <c r="X48" s="50"/>
      <c r="Y48" s="50"/>
      <c r="Z48" s="50"/>
    </row>
    <row r="49" spans="1:26" ht="15.75" customHeight="1" x14ac:dyDescent="0.35">
      <c r="A49" s="50"/>
      <c r="B49" s="58"/>
      <c r="C49" s="47"/>
      <c r="D49" s="187"/>
      <c r="E49" s="187"/>
      <c r="F49" s="187"/>
      <c r="G49" s="50"/>
      <c r="H49" s="115"/>
      <c r="I49" s="50"/>
      <c r="J49" s="50"/>
      <c r="K49" s="50"/>
      <c r="L49" s="50"/>
      <c r="M49" s="50"/>
      <c r="N49" s="50"/>
      <c r="O49" s="50"/>
      <c r="P49" s="50"/>
      <c r="Q49" s="50"/>
      <c r="R49" s="50"/>
      <c r="S49" s="50"/>
      <c r="T49" s="50"/>
      <c r="U49" s="50"/>
      <c r="V49" s="50"/>
      <c r="W49" s="50"/>
      <c r="X49" s="50"/>
      <c r="Y49" s="50"/>
      <c r="Z49" s="50"/>
    </row>
    <row r="50" spans="1:26" ht="15.75" customHeight="1" x14ac:dyDescent="0.35">
      <c r="A50" s="50"/>
      <c r="B50" s="46" t="s">
        <v>306</v>
      </c>
      <c r="C50" s="47"/>
      <c r="D50" s="187"/>
      <c r="E50" s="176" t="s">
        <v>205</v>
      </c>
      <c r="F50" s="182" t="s">
        <v>206</v>
      </c>
      <c r="G50" s="50"/>
      <c r="H50" s="115"/>
      <c r="I50" s="50"/>
      <c r="J50" s="50"/>
      <c r="K50" s="50"/>
      <c r="L50" s="50"/>
      <c r="M50" s="50"/>
      <c r="N50" s="50"/>
      <c r="O50" s="50"/>
      <c r="P50" s="50"/>
      <c r="Q50" s="50"/>
      <c r="R50" s="50"/>
      <c r="S50" s="50"/>
      <c r="T50" s="50"/>
      <c r="U50" s="50"/>
      <c r="V50" s="50"/>
      <c r="W50" s="50"/>
      <c r="X50" s="50"/>
      <c r="Y50" s="50"/>
      <c r="Z50" s="50"/>
    </row>
    <row r="51" spans="1:26" ht="15.75" customHeight="1" x14ac:dyDescent="0.35">
      <c r="A51" s="50"/>
      <c r="B51" s="53" t="s">
        <v>165</v>
      </c>
      <c r="C51" s="47" t="s">
        <v>202</v>
      </c>
      <c r="D51" s="180"/>
      <c r="E51" s="180">
        <f t="shared" ref="E51:E54" si="5">F43-F36</f>
        <v>161.89069423929101</v>
      </c>
      <c r="F51" s="180">
        <v>222.42954130112003</v>
      </c>
      <c r="G51" s="50" t="s">
        <v>307</v>
      </c>
      <c r="H51" s="115"/>
      <c r="I51" s="50"/>
      <c r="J51" s="50"/>
      <c r="K51" s="50"/>
      <c r="L51" s="50"/>
      <c r="M51" s="50"/>
      <c r="N51" s="50"/>
      <c r="O51" s="50"/>
      <c r="P51" s="50"/>
      <c r="Q51" s="50"/>
      <c r="R51" s="50"/>
      <c r="S51" s="50"/>
      <c r="T51" s="50"/>
      <c r="U51" s="50"/>
      <c r="V51" s="50"/>
      <c r="W51" s="50"/>
      <c r="X51" s="50"/>
      <c r="Y51" s="50"/>
      <c r="Z51" s="50"/>
    </row>
    <row r="52" spans="1:26" ht="15.75" customHeight="1" x14ac:dyDescent="0.35">
      <c r="A52" s="50"/>
      <c r="B52" s="53" t="s">
        <v>166</v>
      </c>
      <c r="C52" s="47" t="s">
        <v>202</v>
      </c>
      <c r="D52" s="180"/>
      <c r="E52" s="180">
        <f t="shared" si="5"/>
        <v>628.51157894736843</v>
      </c>
      <c r="F52" s="180">
        <v>669.63220050125312</v>
      </c>
      <c r="G52" s="50"/>
      <c r="H52" s="115"/>
      <c r="I52" s="50"/>
      <c r="J52" s="50"/>
      <c r="K52" s="50"/>
      <c r="L52" s="50"/>
      <c r="M52" s="50"/>
      <c r="N52" s="50"/>
      <c r="O52" s="50"/>
      <c r="P52" s="50"/>
      <c r="Q52" s="50"/>
      <c r="R52" s="50"/>
      <c r="S52" s="50"/>
      <c r="T52" s="50"/>
      <c r="U52" s="50"/>
      <c r="V52" s="50"/>
      <c r="W52" s="50"/>
      <c r="X52" s="50"/>
      <c r="Y52" s="50"/>
      <c r="Z52" s="50"/>
    </row>
    <row r="53" spans="1:26" ht="15.75" customHeight="1" x14ac:dyDescent="0.35">
      <c r="A53" s="50"/>
      <c r="B53" s="53" t="s">
        <v>172</v>
      </c>
      <c r="C53" s="47" t="s">
        <v>202</v>
      </c>
      <c r="D53" s="181"/>
      <c r="E53" s="269">
        <f t="shared" si="5"/>
        <v>134.92440944881889</v>
      </c>
      <c r="F53" s="269">
        <v>39.658843459840774</v>
      </c>
      <c r="G53" s="50" t="s">
        <v>308</v>
      </c>
      <c r="H53" s="115"/>
      <c r="I53" s="50"/>
      <c r="J53" s="50"/>
      <c r="K53" s="50"/>
      <c r="L53" s="50"/>
      <c r="M53" s="50"/>
      <c r="N53" s="50"/>
      <c r="O53" s="50"/>
      <c r="P53" s="50"/>
      <c r="Q53" s="50"/>
      <c r="R53" s="50"/>
      <c r="S53" s="50"/>
      <c r="T53" s="50"/>
      <c r="U53" s="50"/>
      <c r="V53" s="50"/>
      <c r="W53" s="50"/>
      <c r="X53" s="50"/>
      <c r="Y53" s="50"/>
      <c r="Z53" s="50"/>
    </row>
    <row r="54" spans="1:26" ht="15.75" customHeight="1" x14ac:dyDescent="0.35">
      <c r="A54" s="50"/>
      <c r="B54" s="53" t="s">
        <v>173</v>
      </c>
      <c r="C54" s="47" t="s">
        <v>202</v>
      </c>
      <c r="D54" s="181"/>
      <c r="E54" s="180">
        <f t="shared" si="5"/>
        <v>350.94827586206901</v>
      </c>
      <c r="F54" s="180">
        <v>335.76647003521896</v>
      </c>
      <c r="G54" s="50"/>
      <c r="H54" s="115"/>
      <c r="I54" s="50"/>
      <c r="J54" s="50"/>
      <c r="K54" s="50"/>
      <c r="L54" s="50"/>
      <c r="M54" s="50"/>
      <c r="N54" s="50"/>
      <c r="O54" s="50"/>
      <c r="P54" s="50"/>
      <c r="Q54" s="50"/>
      <c r="R54" s="50"/>
      <c r="S54" s="50"/>
      <c r="T54" s="50"/>
      <c r="U54" s="50"/>
      <c r="V54" s="50"/>
      <c r="W54" s="50"/>
      <c r="X54" s="50"/>
      <c r="Y54" s="50"/>
      <c r="Z54" s="50"/>
    </row>
    <row r="55" spans="1:26" ht="15.75" customHeight="1" x14ac:dyDescent="0.35">
      <c r="A55" s="50"/>
      <c r="B55" s="53" t="s">
        <v>175</v>
      </c>
      <c r="C55" s="47" t="s">
        <v>202</v>
      </c>
      <c r="D55" s="181"/>
      <c r="E55" s="180"/>
      <c r="F55" s="180">
        <v>30</v>
      </c>
      <c r="G55" s="50"/>
      <c r="H55" s="115"/>
      <c r="I55" s="50"/>
      <c r="J55" s="50"/>
      <c r="K55" s="50"/>
      <c r="L55" s="50"/>
      <c r="M55" s="50"/>
      <c r="N55" s="50"/>
      <c r="O55" s="50"/>
      <c r="P55" s="50"/>
      <c r="Q55" s="50"/>
      <c r="R55" s="50"/>
      <c r="S55" s="50"/>
      <c r="T55" s="50"/>
      <c r="U55" s="50"/>
      <c r="V55" s="50"/>
      <c r="W55" s="50"/>
      <c r="X55" s="50"/>
      <c r="Y55" s="50"/>
      <c r="Z55" s="50"/>
    </row>
    <row r="56" spans="1:26" ht="15.75" customHeight="1" x14ac:dyDescent="0.35">
      <c r="A56" s="50"/>
      <c r="B56" s="58" t="s">
        <v>304</v>
      </c>
      <c r="C56" s="47" t="s">
        <v>202</v>
      </c>
      <c r="D56" s="187"/>
      <c r="E56" s="187"/>
      <c r="F56" s="187"/>
      <c r="G56" s="50"/>
      <c r="H56" s="115"/>
      <c r="I56" s="50"/>
      <c r="J56" s="50"/>
      <c r="K56" s="50"/>
      <c r="L56" s="50"/>
      <c r="M56" s="50"/>
      <c r="N56" s="50"/>
      <c r="O56" s="50"/>
      <c r="P56" s="50"/>
      <c r="Q56" s="50"/>
      <c r="R56" s="50"/>
      <c r="S56" s="50"/>
      <c r="T56" s="50"/>
      <c r="U56" s="50"/>
      <c r="V56" s="50"/>
      <c r="W56" s="50"/>
      <c r="X56" s="50"/>
      <c r="Y56" s="50"/>
      <c r="Z56" s="50"/>
    </row>
    <row r="57" spans="1:26" ht="15.75" customHeight="1" x14ac:dyDescent="0.35">
      <c r="A57" s="50"/>
      <c r="B57" s="72"/>
      <c r="C57" s="188"/>
      <c r="D57" s="270"/>
      <c r="E57" s="270"/>
      <c r="F57" s="270"/>
      <c r="G57" s="134"/>
      <c r="H57" s="136"/>
      <c r="I57" s="50"/>
      <c r="J57" s="50"/>
      <c r="K57" s="50"/>
      <c r="L57" s="50"/>
      <c r="M57" s="50"/>
      <c r="N57" s="50"/>
      <c r="O57" s="50"/>
      <c r="P57" s="50"/>
      <c r="Q57" s="50"/>
      <c r="R57" s="50"/>
      <c r="S57" s="50"/>
      <c r="T57" s="50"/>
      <c r="U57" s="50"/>
      <c r="V57" s="50"/>
      <c r="W57" s="50"/>
      <c r="X57" s="50"/>
      <c r="Y57" s="50"/>
      <c r="Z57" s="50"/>
    </row>
    <row r="58" spans="1:26" ht="15.75" customHeight="1" x14ac:dyDescent="0.3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5.75" customHeight="1" x14ac:dyDescent="0.35">
      <c r="A59" s="50"/>
      <c r="B59" s="35" t="s">
        <v>55</v>
      </c>
      <c r="C59" s="38"/>
      <c r="D59" s="565" t="s">
        <v>129</v>
      </c>
      <c r="E59" s="552"/>
      <c r="F59" s="553"/>
      <c r="G59" s="112" t="s">
        <v>130</v>
      </c>
      <c r="H59" s="38" t="e">
        <f t="shared" ref="H59:P59" si="6">+G59+1</f>
        <v>#VALUE!</v>
      </c>
      <c r="I59" s="38" t="e">
        <f t="shared" si="6"/>
        <v>#VALUE!</v>
      </c>
      <c r="J59" s="38" t="e">
        <f t="shared" si="6"/>
        <v>#VALUE!</v>
      </c>
      <c r="K59" s="38" t="e">
        <f t="shared" si="6"/>
        <v>#VALUE!</v>
      </c>
      <c r="L59" s="38" t="e">
        <f t="shared" si="6"/>
        <v>#VALUE!</v>
      </c>
      <c r="M59" s="38" t="e">
        <f t="shared" si="6"/>
        <v>#VALUE!</v>
      </c>
      <c r="N59" s="38" t="e">
        <f t="shared" si="6"/>
        <v>#VALUE!</v>
      </c>
      <c r="O59" s="38" t="e">
        <f t="shared" si="6"/>
        <v>#VALUE!</v>
      </c>
      <c r="P59" s="39" t="e">
        <f t="shared" si="6"/>
        <v>#VALUE!</v>
      </c>
      <c r="Q59" s="50"/>
      <c r="R59" s="50"/>
      <c r="S59" s="50"/>
      <c r="T59" s="50"/>
      <c r="U59" s="50"/>
      <c r="V59" s="50"/>
      <c r="W59" s="50"/>
      <c r="X59" s="50"/>
      <c r="Y59" s="50"/>
      <c r="Z59" s="50"/>
    </row>
    <row r="60" spans="1:26" ht="15.75" customHeight="1" x14ac:dyDescent="0.35">
      <c r="A60" s="50"/>
      <c r="B60" s="40"/>
      <c r="C60" s="113"/>
      <c r="D60" s="159" t="e">
        <f>+'[1]Input Data'!E11</f>
        <v>#REF!</v>
      </c>
      <c r="E60" s="159" t="e">
        <f>+D60+1</f>
        <v>#REF!</v>
      </c>
      <c r="F60" s="159" t="e">
        <f t="shared" ref="F60:P60" si="7">E60+1</f>
        <v>#REF!</v>
      </c>
      <c r="G60" s="159" t="e">
        <f t="shared" si="7"/>
        <v>#REF!</v>
      </c>
      <c r="H60" s="159" t="e">
        <f t="shared" si="7"/>
        <v>#REF!</v>
      </c>
      <c r="I60" s="159" t="e">
        <f t="shared" si="7"/>
        <v>#REF!</v>
      </c>
      <c r="J60" s="159" t="e">
        <f t="shared" si="7"/>
        <v>#REF!</v>
      </c>
      <c r="K60" s="159" t="e">
        <f t="shared" si="7"/>
        <v>#REF!</v>
      </c>
      <c r="L60" s="159" t="e">
        <f t="shared" si="7"/>
        <v>#REF!</v>
      </c>
      <c r="M60" s="159" t="e">
        <f t="shared" si="7"/>
        <v>#REF!</v>
      </c>
      <c r="N60" s="159" t="e">
        <f t="shared" si="7"/>
        <v>#REF!</v>
      </c>
      <c r="O60" s="159" t="e">
        <f t="shared" si="7"/>
        <v>#REF!</v>
      </c>
      <c r="P60" s="160" t="e">
        <f t="shared" si="7"/>
        <v>#REF!</v>
      </c>
      <c r="Q60" s="50"/>
      <c r="R60" s="50"/>
      <c r="S60" s="50"/>
      <c r="T60" s="50"/>
      <c r="U60" s="50"/>
      <c r="V60" s="50"/>
      <c r="W60" s="50"/>
      <c r="X60" s="50"/>
      <c r="Y60" s="50"/>
      <c r="Z60" s="50"/>
    </row>
    <row r="61" spans="1:26" ht="15.75" customHeight="1" x14ac:dyDescent="0.35">
      <c r="A61" s="50"/>
      <c r="B61" s="46" t="s">
        <v>309</v>
      </c>
      <c r="C61" s="47"/>
      <c r="D61" s="49"/>
      <c r="E61" s="49"/>
      <c r="F61" s="49"/>
      <c r="G61" s="49"/>
      <c r="H61" s="49"/>
      <c r="I61" s="49"/>
      <c r="J61" s="49"/>
      <c r="K61" s="49"/>
      <c r="L61" s="49"/>
      <c r="M61" s="49"/>
      <c r="N61" s="50"/>
      <c r="O61" s="50"/>
      <c r="P61" s="115"/>
      <c r="Q61" s="50"/>
      <c r="R61" s="50"/>
      <c r="S61" s="50"/>
      <c r="T61" s="50"/>
      <c r="U61" s="50"/>
      <c r="V61" s="50"/>
      <c r="W61" s="50"/>
      <c r="X61" s="50"/>
      <c r="Y61" s="50"/>
      <c r="Z61" s="50"/>
    </row>
    <row r="62" spans="1:26" ht="15.75" customHeight="1" x14ac:dyDescent="0.35">
      <c r="A62" s="50"/>
      <c r="B62" s="53" t="s">
        <v>165</v>
      </c>
      <c r="C62" s="116" t="s">
        <v>94</v>
      </c>
      <c r="D62" s="193">
        <f t="shared" ref="D62:F62" si="8">(D22*100%)/D$33</f>
        <v>431801.76744245592</v>
      </c>
      <c r="E62" s="193">
        <f t="shared" si="8"/>
        <v>393846.81500785379</v>
      </c>
      <c r="F62" s="193">
        <f t="shared" si="8"/>
        <v>350147.80999768188</v>
      </c>
      <c r="G62" s="49">
        <f t="shared" ref="G62:P62" si="9">F62*(1+$D$11)</f>
        <v>365939.47622857732</v>
      </c>
      <c r="H62" s="49">
        <f t="shared" si="9"/>
        <v>382443.34660648613</v>
      </c>
      <c r="I62" s="49">
        <f t="shared" si="9"/>
        <v>399691.54153843864</v>
      </c>
      <c r="J62" s="49">
        <f t="shared" si="9"/>
        <v>417717.63006182219</v>
      </c>
      <c r="K62" s="49">
        <f t="shared" si="9"/>
        <v>436556.69517761032</v>
      </c>
      <c r="L62" s="49">
        <f t="shared" si="9"/>
        <v>456245.40213012049</v>
      </c>
      <c r="M62" s="49">
        <f t="shared" si="9"/>
        <v>476822.06976618891</v>
      </c>
      <c r="N62" s="49">
        <f t="shared" si="9"/>
        <v>498326.74511264398</v>
      </c>
      <c r="O62" s="49">
        <f t="shared" si="9"/>
        <v>520801.2813172242</v>
      </c>
      <c r="P62" s="117">
        <f t="shared" si="9"/>
        <v>544289.41910463094</v>
      </c>
      <c r="Q62" s="50"/>
      <c r="R62" s="50"/>
      <c r="S62" s="50"/>
      <c r="T62" s="50"/>
      <c r="U62" s="50"/>
      <c r="V62" s="50"/>
      <c r="W62" s="50"/>
      <c r="X62" s="50"/>
      <c r="Y62" s="50"/>
      <c r="Z62" s="50"/>
    </row>
    <row r="63" spans="1:26" ht="15.75" customHeight="1" x14ac:dyDescent="0.35">
      <c r="A63" s="50"/>
      <c r="B63" s="53" t="s">
        <v>166</v>
      </c>
      <c r="C63" s="116" t="s">
        <v>94</v>
      </c>
      <c r="D63" s="193">
        <f t="shared" ref="D63:F63" si="10">(D23*100%)/D$33</f>
        <v>21247.175103054509</v>
      </c>
      <c r="E63" s="193">
        <f t="shared" si="10"/>
        <v>50420.854562330431</v>
      </c>
      <c r="F63" s="193">
        <f t="shared" si="10"/>
        <v>81890.79751299799</v>
      </c>
      <c r="G63" s="49">
        <f t="shared" ref="G63:P63" si="11">F63*(1+$D$11)</f>
        <v>85584.072480834191</v>
      </c>
      <c r="H63" s="49">
        <f t="shared" si="11"/>
        <v>89443.9141497198</v>
      </c>
      <c r="I63" s="49">
        <f t="shared" si="11"/>
        <v>93477.834677872161</v>
      </c>
      <c r="J63" s="49">
        <f t="shared" si="11"/>
        <v>97693.685021844183</v>
      </c>
      <c r="K63" s="49">
        <f t="shared" si="11"/>
        <v>102099.67021632935</v>
      </c>
      <c r="L63" s="49">
        <f t="shared" si="11"/>
        <v>106704.3653430858</v>
      </c>
      <c r="M63" s="49">
        <f t="shared" si="11"/>
        <v>111516.73222005896</v>
      </c>
      <c r="N63" s="49">
        <f t="shared" si="11"/>
        <v>116546.1368431836</v>
      </c>
      <c r="O63" s="49">
        <f t="shared" si="11"/>
        <v>121802.36761481117</v>
      </c>
      <c r="P63" s="117">
        <f t="shared" si="11"/>
        <v>127295.65439423914</v>
      </c>
      <c r="Q63" s="50"/>
      <c r="R63" s="50"/>
      <c r="S63" s="50"/>
      <c r="T63" s="50"/>
      <c r="U63" s="50"/>
      <c r="V63" s="50"/>
      <c r="W63" s="50"/>
      <c r="X63" s="50"/>
      <c r="Y63" s="50"/>
      <c r="Z63" s="50"/>
    </row>
    <row r="64" spans="1:26" ht="15.75" customHeight="1" x14ac:dyDescent="0.35">
      <c r="A64" s="50"/>
      <c r="B64" s="53" t="s">
        <v>172</v>
      </c>
      <c r="C64" s="116" t="s">
        <v>94</v>
      </c>
      <c r="D64" s="193">
        <f t="shared" ref="D64:F64" si="12">(D24*100%)/D$33</f>
        <v>169977.40082443607</v>
      </c>
      <c r="E64" s="193">
        <f t="shared" si="12"/>
        <v>183348.56204483795</v>
      </c>
      <c r="F64" s="193">
        <f t="shared" si="12"/>
        <v>218950.1322979104</v>
      </c>
      <c r="G64" s="49">
        <f t="shared" ref="G64:P64" si="13">F64*(1+$D$11)</f>
        <v>228824.78326454613</v>
      </c>
      <c r="H64" s="49">
        <f t="shared" si="13"/>
        <v>239144.78098977715</v>
      </c>
      <c r="I64" s="49">
        <f t="shared" si="13"/>
        <v>249930.21061241609</v>
      </c>
      <c r="J64" s="49">
        <f t="shared" si="13"/>
        <v>261202.06311103603</v>
      </c>
      <c r="K64" s="49">
        <f t="shared" si="13"/>
        <v>272982.2761573437</v>
      </c>
      <c r="L64" s="49">
        <f t="shared" si="13"/>
        <v>285293.7768120399</v>
      </c>
      <c r="M64" s="49">
        <f t="shared" si="13"/>
        <v>298160.52614626288</v>
      </c>
      <c r="N64" s="49">
        <f t="shared" si="13"/>
        <v>311607.56587545929</v>
      </c>
      <c r="O64" s="49">
        <f t="shared" si="13"/>
        <v>325661.06709644245</v>
      </c>
      <c r="P64" s="117">
        <f t="shared" si="13"/>
        <v>340348.38122249197</v>
      </c>
      <c r="Q64" s="50"/>
      <c r="R64" s="50"/>
      <c r="S64" s="50"/>
      <c r="T64" s="50"/>
      <c r="U64" s="50"/>
      <c r="V64" s="50"/>
      <c r="W64" s="50"/>
      <c r="X64" s="50"/>
      <c r="Y64" s="50"/>
      <c r="Z64" s="50"/>
    </row>
    <row r="65" spans="1:26" ht="15.75" customHeight="1" x14ac:dyDescent="0.35">
      <c r="A65" s="50"/>
      <c r="B65" s="53" t="s">
        <v>173</v>
      </c>
      <c r="C65" s="116" t="s">
        <v>94</v>
      </c>
      <c r="D65" s="193">
        <f t="shared" ref="D65:F65" si="14">(D25*100%)/D$33</f>
        <v>16137.095014978109</v>
      </c>
      <c r="E65" s="193">
        <f t="shared" si="14"/>
        <v>11988.175210624018</v>
      </c>
      <c r="F65" s="193">
        <f t="shared" si="14"/>
        <v>9999.29738053449</v>
      </c>
      <c r="G65" s="49">
        <f t="shared" ref="G65:P65" si="15">F65*(1+$D$11)</f>
        <v>10450.265692396595</v>
      </c>
      <c r="H65" s="49">
        <f t="shared" si="15"/>
        <v>10921.57267512368</v>
      </c>
      <c r="I65" s="49">
        <f t="shared" si="15"/>
        <v>11414.135602771757</v>
      </c>
      <c r="J65" s="49">
        <f t="shared" si="15"/>
        <v>11928.913118456763</v>
      </c>
      <c r="K65" s="49">
        <f t="shared" si="15"/>
        <v>12466.907100099163</v>
      </c>
      <c r="L65" s="49">
        <f t="shared" si="15"/>
        <v>13029.164610313634</v>
      </c>
      <c r="M65" s="49">
        <f t="shared" si="15"/>
        <v>13616.779934238777</v>
      </c>
      <c r="N65" s="49">
        <f t="shared" si="15"/>
        <v>14230.896709272945</v>
      </c>
      <c r="O65" s="49">
        <f t="shared" si="15"/>
        <v>14872.710150861154</v>
      </c>
      <c r="P65" s="117">
        <f t="shared" si="15"/>
        <v>15543.469378664991</v>
      </c>
      <c r="Q65" s="50"/>
      <c r="R65" s="50"/>
      <c r="S65" s="50"/>
      <c r="T65" s="50"/>
      <c r="U65" s="50"/>
      <c r="V65" s="50"/>
      <c r="W65" s="50"/>
      <c r="X65" s="50"/>
      <c r="Y65" s="50"/>
      <c r="Z65" s="50"/>
    </row>
    <row r="66" spans="1:26" ht="15.75" customHeight="1" x14ac:dyDescent="0.35">
      <c r="A66" s="50"/>
      <c r="B66" s="53" t="s">
        <v>175</v>
      </c>
      <c r="C66" s="116" t="s">
        <v>94</v>
      </c>
      <c r="D66" s="193">
        <f t="shared" ref="D66:F66" si="16">(D26*100%)/D$33</f>
        <v>0</v>
      </c>
      <c r="E66" s="193">
        <f t="shared" si="16"/>
        <v>0</v>
      </c>
      <c r="F66" s="193">
        <f t="shared" si="16"/>
        <v>0</v>
      </c>
      <c r="G66" s="49">
        <f t="shared" ref="G66:P66" si="17">F66*(1+$D$11)</f>
        <v>0</v>
      </c>
      <c r="H66" s="49">
        <f t="shared" si="17"/>
        <v>0</v>
      </c>
      <c r="I66" s="49">
        <f t="shared" si="17"/>
        <v>0</v>
      </c>
      <c r="J66" s="49">
        <f t="shared" si="17"/>
        <v>0</v>
      </c>
      <c r="K66" s="49">
        <f t="shared" si="17"/>
        <v>0</v>
      </c>
      <c r="L66" s="49">
        <f t="shared" si="17"/>
        <v>0</v>
      </c>
      <c r="M66" s="49">
        <f t="shared" si="17"/>
        <v>0</v>
      </c>
      <c r="N66" s="49">
        <f t="shared" si="17"/>
        <v>0</v>
      </c>
      <c r="O66" s="49">
        <f t="shared" si="17"/>
        <v>0</v>
      </c>
      <c r="P66" s="117">
        <f t="shared" si="17"/>
        <v>0</v>
      </c>
      <c r="Q66" s="50"/>
      <c r="R66" s="50"/>
      <c r="S66" s="50"/>
      <c r="T66" s="50"/>
      <c r="U66" s="50"/>
      <c r="V66" s="50"/>
      <c r="W66" s="50"/>
      <c r="X66" s="50"/>
      <c r="Y66" s="50"/>
      <c r="Z66" s="50"/>
    </row>
    <row r="67" spans="1:26" ht="15.75" customHeight="1" x14ac:dyDescent="0.35">
      <c r="A67" s="271"/>
      <c r="B67" s="238" t="s">
        <v>65</v>
      </c>
      <c r="C67" s="271"/>
      <c r="D67" s="240">
        <f t="shared" ref="D67:P67" si="18">SUM(D62:D66)</f>
        <v>639163.43838492455</v>
      </c>
      <c r="E67" s="240">
        <f t="shared" si="18"/>
        <v>639604.40682564618</v>
      </c>
      <c r="F67" s="240">
        <f t="shared" si="18"/>
        <v>660988.03718912473</v>
      </c>
      <c r="G67" s="240">
        <f t="shared" si="18"/>
        <v>690798.59766635415</v>
      </c>
      <c r="H67" s="240">
        <f t="shared" si="18"/>
        <v>721953.61442110676</v>
      </c>
      <c r="I67" s="240">
        <f t="shared" si="18"/>
        <v>754513.72243149858</v>
      </c>
      <c r="J67" s="240">
        <f t="shared" si="18"/>
        <v>788542.29131315905</v>
      </c>
      <c r="K67" s="240">
        <f t="shared" si="18"/>
        <v>824105.54865138256</v>
      </c>
      <c r="L67" s="240">
        <f t="shared" si="18"/>
        <v>861272.70889555977</v>
      </c>
      <c r="M67" s="240">
        <f t="shared" si="18"/>
        <v>900116.10806674953</v>
      </c>
      <c r="N67" s="240">
        <f t="shared" si="18"/>
        <v>940711.3445405598</v>
      </c>
      <c r="O67" s="240">
        <f t="shared" si="18"/>
        <v>983137.42617933895</v>
      </c>
      <c r="P67" s="241">
        <f t="shared" si="18"/>
        <v>1027476.9241000271</v>
      </c>
      <c r="Q67" s="271"/>
      <c r="R67" s="271"/>
      <c r="S67" s="271"/>
      <c r="T67" s="271"/>
      <c r="U67" s="271"/>
      <c r="V67" s="271"/>
      <c r="W67" s="271"/>
      <c r="X67" s="271"/>
      <c r="Y67" s="271"/>
      <c r="Z67" s="271"/>
    </row>
    <row r="68" spans="1:26" ht="15.75" customHeight="1" x14ac:dyDescent="0.35">
      <c r="A68" s="50"/>
      <c r="B68" s="62" t="s">
        <v>132</v>
      </c>
      <c r="C68" s="50"/>
      <c r="D68" s="126"/>
      <c r="E68" s="126"/>
      <c r="F68" s="126"/>
      <c r="G68" s="126"/>
      <c r="H68" s="126"/>
      <c r="I68" s="126"/>
      <c r="J68" s="126"/>
      <c r="K68" s="126"/>
      <c r="L68" s="126"/>
      <c r="M68" s="126"/>
      <c r="N68" s="126"/>
      <c r="O68" s="126"/>
      <c r="P68" s="127"/>
      <c r="Q68" s="50"/>
      <c r="R68" s="50"/>
      <c r="S68" s="50"/>
      <c r="T68" s="50"/>
      <c r="U68" s="50"/>
      <c r="V68" s="50"/>
      <c r="W68" s="50"/>
      <c r="X68" s="50"/>
      <c r="Y68" s="50"/>
      <c r="Z68" s="50"/>
    </row>
    <row r="69" spans="1:26" ht="15.75" customHeight="1" x14ac:dyDescent="0.35">
      <c r="A69" s="50"/>
      <c r="B69" s="53" t="s">
        <v>165</v>
      </c>
      <c r="C69" s="50"/>
      <c r="D69" s="121">
        <f t="shared" ref="D69:F69" si="19">D43</f>
        <v>328.3132980379944</v>
      </c>
      <c r="E69" s="121">
        <f t="shared" si="19"/>
        <v>313.68218442256045</v>
      </c>
      <c r="F69" s="121">
        <f t="shared" si="19"/>
        <v>254.57951747907435</v>
      </c>
      <c r="G69" s="126">
        <f t="shared" ref="G69:P69" si="20">F69*(1+$D$12)</f>
        <v>257.12531265386508</v>
      </c>
      <c r="H69" s="126">
        <f t="shared" si="20"/>
        <v>259.69656578040372</v>
      </c>
      <c r="I69" s="126">
        <f t="shared" si="20"/>
        <v>262.29353143820776</v>
      </c>
      <c r="J69" s="126">
        <f t="shared" si="20"/>
        <v>264.91646675258983</v>
      </c>
      <c r="K69" s="126">
        <f t="shared" si="20"/>
        <v>267.56563142011572</v>
      </c>
      <c r="L69" s="126">
        <f t="shared" si="20"/>
        <v>270.24128773431687</v>
      </c>
      <c r="M69" s="126">
        <f t="shared" si="20"/>
        <v>272.94370061166006</v>
      </c>
      <c r="N69" s="126">
        <f t="shared" si="20"/>
        <v>275.67313761777666</v>
      </c>
      <c r="O69" s="126">
        <f t="shared" si="20"/>
        <v>278.42986899395441</v>
      </c>
      <c r="P69" s="127">
        <f t="shared" si="20"/>
        <v>281.21416768389395</v>
      </c>
      <c r="Q69" s="50"/>
      <c r="R69" s="50"/>
      <c r="S69" s="50"/>
      <c r="T69" s="50"/>
      <c r="U69" s="50"/>
      <c r="V69" s="50"/>
      <c r="W69" s="50"/>
      <c r="X69" s="50"/>
      <c r="Y69" s="50"/>
      <c r="Z69" s="50"/>
    </row>
    <row r="70" spans="1:26" ht="15.75" customHeight="1" x14ac:dyDescent="0.35">
      <c r="A70" s="50"/>
      <c r="B70" s="53" t="s">
        <v>166</v>
      </c>
      <c r="C70" s="50"/>
      <c r="D70" s="121">
        <f t="shared" ref="D70:F70" si="21">D44</f>
        <v>2528.5189873417721</v>
      </c>
      <c r="E70" s="121">
        <f t="shared" si="21"/>
        <v>2281.9195804195806</v>
      </c>
      <c r="F70" s="121">
        <f t="shared" si="21"/>
        <v>2110.9221052631578</v>
      </c>
      <c r="G70" s="126">
        <f t="shared" ref="G70:P70" si="22">F70*(1+$D$12)</f>
        <v>2132.0313263157896</v>
      </c>
      <c r="H70" s="126">
        <f t="shared" si="22"/>
        <v>2153.3516395789475</v>
      </c>
      <c r="I70" s="126">
        <f t="shared" si="22"/>
        <v>2174.8851559747368</v>
      </c>
      <c r="J70" s="126">
        <f t="shared" si="22"/>
        <v>2196.6340075344842</v>
      </c>
      <c r="K70" s="126">
        <f t="shared" si="22"/>
        <v>2218.600347609829</v>
      </c>
      <c r="L70" s="126">
        <f t="shared" si="22"/>
        <v>2240.7863510859274</v>
      </c>
      <c r="M70" s="126">
        <f t="shared" si="22"/>
        <v>2263.1942145967869</v>
      </c>
      <c r="N70" s="126">
        <f t="shared" si="22"/>
        <v>2285.8261567427548</v>
      </c>
      <c r="O70" s="126">
        <f t="shared" si="22"/>
        <v>2308.6844183101825</v>
      </c>
      <c r="P70" s="127">
        <f t="shared" si="22"/>
        <v>2331.7712624932842</v>
      </c>
      <c r="Q70" s="50"/>
      <c r="R70" s="50"/>
      <c r="S70" s="50"/>
      <c r="T70" s="50"/>
      <c r="U70" s="50"/>
      <c r="V70" s="50"/>
      <c r="W70" s="50"/>
      <c r="X70" s="50"/>
      <c r="Y70" s="50"/>
      <c r="Z70" s="50"/>
    </row>
    <row r="71" spans="1:26" ht="15.75" customHeight="1" x14ac:dyDescent="0.35">
      <c r="A71" s="50"/>
      <c r="B71" s="53" t="s">
        <v>172</v>
      </c>
      <c r="C71" s="50"/>
      <c r="D71" s="121">
        <f t="shared" ref="D71:F71" si="23">D45</f>
        <v>267.48180379746833</v>
      </c>
      <c r="E71" s="121">
        <f t="shared" si="23"/>
        <v>293.38942307692309</v>
      </c>
      <c r="F71" s="121">
        <f t="shared" si="23"/>
        <v>249.88818897637793</v>
      </c>
      <c r="G71" s="126">
        <f t="shared" ref="G71:P71" si="24">F71*(1+$D$12)</f>
        <v>252.38707086614173</v>
      </c>
      <c r="H71" s="126">
        <f t="shared" si="24"/>
        <v>254.91094157480313</v>
      </c>
      <c r="I71" s="126">
        <f t="shared" si="24"/>
        <v>257.46005099055117</v>
      </c>
      <c r="J71" s="126">
        <f t="shared" si="24"/>
        <v>260.03465150045668</v>
      </c>
      <c r="K71" s="126">
        <f t="shared" si="24"/>
        <v>262.63499801546124</v>
      </c>
      <c r="L71" s="126">
        <f t="shared" si="24"/>
        <v>265.26134799561584</v>
      </c>
      <c r="M71" s="126">
        <f t="shared" si="24"/>
        <v>267.91396147557202</v>
      </c>
      <c r="N71" s="126">
        <f t="shared" si="24"/>
        <v>270.59310109032776</v>
      </c>
      <c r="O71" s="126">
        <f t="shared" si="24"/>
        <v>273.29903210123103</v>
      </c>
      <c r="P71" s="127">
        <f t="shared" si="24"/>
        <v>276.03202242224336</v>
      </c>
      <c r="Q71" s="50"/>
      <c r="R71" s="50"/>
      <c r="S71" s="50"/>
      <c r="T71" s="50"/>
      <c r="U71" s="50"/>
      <c r="V71" s="50"/>
      <c r="W71" s="50"/>
      <c r="X71" s="50"/>
      <c r="Y71" s="50"/>
      <c r="Z71" s="50"/>
    </row>
    <row r="72" spans="1:26" ht="15.75" customHeight="1" x14ac:dyDescent="0.35">
      <c r="A72" s="50"/>
      <c r="B72" s="53" t="s">
        <v>173</v>
      </c>
      <c r="C72" s="54"/>
      <c r="D72" s="121">
        <f t="shared" ref="D72:F72" si="25">D46</f>
        <v>895</v>
      </c>
      <c r="E72" s="121">
        <f t="shared" si="25"/>
        <v>895</v>
      </c>
      <c r="F72" s="121">
        <f t="shared" si="25"/>
        <v>848.70689655172418</v>
      </c>
      <c r="G72" s="126">
        <f t="shared" ref="G72:P72" si="26">F72*(1+$D$12)</f>
        <v>857.19396551724139</v>
      </c>
      <c r="H72" s="126">
        <f t="shared" si="26"/>
        <v>865.7659051724138</v>
      </c>
      <c r="I72" s="126">
        <f t="shared" si="26"/>
        <v>874.42356422413798</v>
      </c>
      <c r="J72" s="126">
        <f t="shared" si="26"/>
        <v>883.16779986637937</v>
      </c>
      <c r="K72" s="126">
        <f t="shared" si="26"/>
        <v>891.99947786504322</v>
      </c>
      <c r="L72" s="126">
        <f t="shared" si="26"/>
        <v>900.91947264369367</v>
      </c>
      <c r="M72" s="126">
        <f t="shared" si="26"/>
        <v>909.9286673701306</v>
      </c>
      <c r="N72" s="126">
        <f t="shared" si="26"/>
        <v>919.02795404383187</v>
      </c>
      <c r="O72" s="126">
        <f t="shared" si="26"/>
        <v>928.21823358427025</v>
      </c>
      <c r="P72" s="127">
        <f t="shared" si="26"/>
        <v>937.50041592011291</v>
      </c>
      <c r="Q72" s="50"/>
      <c r="R72" s="50"/>
      <c r="S72" s="50"/>
      <c r="T72" s="50"/>
      <c r="U72" s="50"/>
      <c r="V72" s="50"/>
      <c r="W72" s="50"/>
      <c r="X72" s="50"/>
      <c r="Y72" s="50"/>
      <c r="Z72" s="50"/>
    </row>
    <row r="73" spans="1:26" ht="15.75" customHeight="1" x14ac:dyDescent="0.35">
      <c r="A73" s="50"/>
      <c r="B73" s="53" t="s">
        <v>175</v>
      </c>
      <c r="C73" s="65"/>
      <c r="D73" s="121">
        <f t="shared" ref="D73:F73" si="27">D47</f>
        <v>0</v>
      </c>
      <c r="E73" s="121">
        <f t="shared" si="27"/>
        <v>0</v>
      </c>
      <c r="F73" s="121">
        <f t="shared" si="27"/>
        <v>0</v>
      </c>
      <c r="G73" s="126">
        <f>IFERROR(F73*(1+$D$12),"")</f>
        <v>0</v>
      </c>
      <c r="H73" s="126">
        <f t="shared" ref="H73:P73" si="28">G73*(1+$D$12)</f>
        <v>0</v>
      </c>
      <c r="I73" s="126">
        <f t="shared" si="28"/>
        <v>0</v>
      </c>
      <c r="J73" s="126">
        <f t="shared" si="28"/>
        <v>0</v>
      </c>
      <c r="K73" s="126">
        <f t="shared" si="28"/>
        <v>0</v>
      </c>
      <c r="L73" s="126">
        <f t="shared" si="28"/>
        <v>0</v>
      </c>
      <c r="M73" s="126">
        <f t="shared" si="28"/>
        <v>0</v>
      </c>
      <c r="N73" s="126">
        <f t="shared" si="28"/>
        <v>0</v>
      </c>
      <c r="O73" s="126">
        <f t="shared" si="28"/>
        <v>0</v>
      </c>
      <c r="P73" s="127">
        <f t="shared" si="28"/>
        <v>0</v>
      </c>
      <c r="Q73" s="50"/>
      <c r="R73" s="50"/>
      <c r="S73" s="50"/>
      <c r="T73" s="50"/>
      <c r="U73" s="50"/>
      <c r="V73" s="50"/>
      <c r="W73" s="50"/>
      <c r="X73" s="50"/>
      <c r="Y73" s="50"/>
      <c r="Z73" s="50"/>
    </row>
    <row r="74" spans="1:26" ht="15.75" customHeight="1" x14ac:dyDescent="0.35">
      <c r="A74" s="50"/>
      <c r="B74" s="53"/>
      <c r="C74" s="65"/>
      <c r="D74" s="126"/>
      <c r="E74" s="126"/>
      <c r="F74" s="126"/>
      <c r="G74" s="126"/>
      <c r="H74" s="126"/>
      <c r="I74" s="126"/>
      <c r="J74" s="126"/>
      <c r="K74" s="126"/>
      <c r="L74" s="126"/>
      <c r="M74" s="126"/>
      <c r="N74" s="126"/>
      <c r="O74" s="126"/>
      <c r="P74" s="127"/>
      <c r="Q74" s="50"/>
      <c r="R74" s="50"/>
      <c r="S74" s="50"/>
      <c r="T74" s="50"/>
      <c r="U74" s="50"/>
      <c r="V74" s="50"/>
      <c r="W74" s="50"/>
      <c r="X74" s="50"/>
      <c r="Y74" s="50"/>
      <c r="Z74" s="50"/>
    </row>
    <row r="75" spans="1:26" ht="15.75" customHeight="1" x14ac:dyDescent="0.35">
      <c r="A75" s="50"/>
      <c r="B75" s="46" t="s">
        <v>217</v>
      </c>
      <c r="C75" s="65"/>
      <c r="D75" s="126"/>
      <c r="E75" s="126"/>
      <c r="F75" s="126"/>
      <c r="G75" s="126"/>
      <c r="H75" s="126"/>
      <c r="I75" s="126"/>
      <c r="J75" s="126"/>
      <c r="K75" s="126"/>
      <c r="L75" s="126"/>
      <c r="M75" s="126"/>
      <c r="N75" s="126"/>
      <c r="O75" s="126"/>
      <c r="P75" s="127"/>
      <c r="Q75" s="50"/>
      <c r="R75" s="50"/>
      <c r="S75" s="50"/>
      <c r="T75" s="50"/>
      <c r="U75" s="50"/>
      <c r="V75" s="50"/>
      <c r="W75" s="50"/>
      <c r="X75" s="50"/>
      <c r="Y75" s="50"/>
      <c r="Z75" s="50"/>
    </row>
    <row r="76" spans="1:26" ht="15.75" customHeight="1" x14ac:dyDescent="0.35">
      <c r="A76" s="50"/>
      <c r="B76" s="53" t="s">
        <v>165</v>
      </c>
      <c r="C76" s="116" t="s">
        <v>94</v>
      </c>
      <c r="D76" s="80">
        <f t="shared" ref="D76:F76" si="29">D22</f>
        <v>3211</v>
      </c>
      <c r="E76" s="80">
        <f t="shared" si="29"/>
        <v>2234</v>
      </c>
      <c r="F76" s="80">
        <f t="shared" si="29"/>
        <v>2031</v>
      </c>
      <c r="G76" s="120">
        <f t="shared" ref="G76:P76" si="30">F76*(1+$D$14)</f>
        <v>2132.5500000000002</v>
      </c>
      <c r="H76" s="120">
        <f t="shared" si="30"/>
        <v>2239.1775000000002</v>
      </c>
      <c r="I76" s="120">
        <f t="shared" si="30"/>
        <v>2351.1363750000005</v>
      </c>
      <c r="J76" s="120">
        <f t="shared" si="30"/>
        <v>2468.6931937500008</v>
      </c>
      <c r="K76" s="120">
        <f t="shared" si="30"/>
        <v>2592.127853437501</v>
      </c>
      <c r="L76" s="120">
        <f t="shared" si="30"/>
        <v>2721.7342461093763</v>
      </c>
      <c r="M76" s="120">
        <f t="shared" si="30"/>
        <v>2857.8209584148453</v>
      </c>
      <c r="N76" s="120">
        <f t="shared" si="30"/>
        <v>3000.7120063355878</v>
      </c>
      <c r="O76" s="120">
        <f t="shared" si="30"/>
        <v>3150.7476066523673</v>
      </c>
      <c r="P76" s="124">
        <f t="shared" si="30"/>
        <v>3308.2849869849856</v>
      </c>
      <c r="Q76" s="50"/>
      <c r="R76" s="50"/>
      <c r="S76" s="50"/>
      <c r="T76" s="50"/>
      <c r="U76" s="50"/>
      <c r="V76" s="50"/>
      <c r="W76" s="50"/>
      <c r="X76" s="50"/>
      <c r="Y76" s="50"/>
      <c r="Z76" s="50"/>
    </row>
    <row r="77" spans="1:26" ht="15.75" customHeight="1" x14ac:dyDescent="0.35">
      <c r="A77" s="50"/>
      <c r="B77" s="53" t="s">
        <v>166</v>
      </c>
      <c r="C77" s="116" t="s">
        <v>94</v>
      </c>
      <c r="D77" s="80">
        <f t="shared" ref="D77:F77" si="31">D23</f>
        <v>158</v>
      </c>
      <c r="E77" s="80">
        <f t="shared" si="31"/>
        <v>286</v>
      </c>
      <c r="F77" s="80">
        <f t="shared" si="31"/>
        <v>475</v>
      </c>
      <c r="G77" s="120">
        <f t="shared" ref="G77:P77" si="32">F77*(1+$D$14)</f>
        <v>498.75</v>
      </c>
      <c r="H77" s="120">
        <f t="shared" si="32"/>
        <v>523.6875</v>
      </c>
      <c r="I77" s="120">
        <f t="shared" si="32"/>
        <v>549.87187500000005</v>
      </c>
      <c r="J77" s="120">
        <f t="shared" si="32"/>
        <v>577.3654687500001</v>
      </c>
      <c r="K77" s="120">
        <f t="shared" si="32"/>
        <v>606.23374218750018</v>
      </c>
      <c r="L77" s="120">
        <f t="shared" si="32"/>
        <v>636.54542929687523</v>
      </c>
      <c r="M77" s="120">
        <f t="shared" si="32"/>
        <v>668.37270076171899</v>
      </c>
      <c r="N77" s="120">
        <f t="shared" si="32"/>
        <v>701.79133579980498</v>
      </c>
      <c r="O77" s="120">
        <f t="shared" si="32"/>
        <v>736.88090258979526</v>
      </c>
      <c r="P77" s="124">
        <f t="shared" si="32"/>
        <v>773.72494771928507</v>
      </c>
      <c r="Q77" s="50"/>
      <c r="R77" s="50"/>
      <c r="S77" s="50"/>
      <c r="T77" s="50"/>
      <c r="U77" s="50"/>
      <c r="V77" s="50"/>
      <c r="W77" s="50"/>
      <c r="X77" s="50"/>
      <c r="Y77" s="50"/>
      <c r="Z77" s="50"/>
    </row>
    <row r="78" spans="1:26" ht="15.75" customHeight="1" x14ac:dyDescent="0.35">
      <c r="A78" s="50"/>
      <c r="B78" s="53" t="s">
        <v>172</v>
      </c>
      <c r="C78" s="116" t="s">
        <v>94</v>
      </c>
      <c r="D78" s="80">
        <f t="shared" ref="D78:F78" si="33">D24</f>
        <v>1264</v>
      </c>
      <c r="E78" s="80">
        <f t="shared" si="33"/>
        <v>1040</v>
      </c>
      <c r="F78" s="80">
        <f t="shared" si="33"/>
        <v>1270</v>
      </c>
      <c r="G78" s="120">
        <f t="shared" ref="G78:P78" si="34">F78*(1+$D$14)</f>
        <v>1333.5</v>
      </c>
      <c r="H78" s="120">
        <f t="shared" si="34"/>
        <v>1400.175</v>
      </c>
      <c r="I78" s="120">
        <f t="shared" si="34"/>
        <v>1470.1837499999999</v>
      </c>
      <c r="J78" s="120">
        <f t="shared" si="34"/>
        <v>1543.6929375</v>
      </c>
      <c r="K78" s="120">
        <f t="shared" si="34"/>
        <v>1620.877584375</v>
      </c>
      <c r="L78" s="120">
        <f t="shared" si="34"/>
        <v>1701.9214635937501</v>
      </c>
      <c r="M78" s="120">
        <f t="shared" si="34"/>
        <v>1787.0175367734378</v>
      </c>
      <c r="N78" s="120">
        <f t="shared" si="34"/>
        <v>1876.3684136121096</v>
      </c>
      <c r="O78" s="120">
        <f t="shared" si="34"/>
        <v>1970.1868342927153</v>
      </c>
      <c r="P78" s="124">
        <f t="shared" si="34"/>
        <v>2068.6961760073509</v>
      </c>
      <c r="Q78" s="50"/>
      <c r="R78" s="50"/>
      <c r="S78" s="50"/>
      <c r="T78" s="50"/>
      <c r="U78" s="50"/>
      <c r="V78" s="50"/>
      <c r="W78" s="50"/>
      <c r="X78" s="50"/>
      <c r="Y78" s="50"/>
      <c r="Z78" s="50"/>
    </row>
    <row r="79" spans="1:26" ht="15.75" customHeight="1" x14ac:dyDescent="0.35">
      <c r="A79" s="50"/>
      <c r="B79" s="53" t="s">
        <v>173</v>
      </c>
      <c r="C79" s="116" t="s">
        <v>94</v>
      </c>
      <c r="D79" s="80">
        <f t="shared" ref="D79:F79" si="35">D25</f>
        <v>120</v>
      </c>
      <c r="E79" s="80">
        <f t="shared" si="35"/>
        <v>68</v>
      </c>
      <c r="F79" s="80">
        <f t="shared" si="35"/>
        <v>58</v>
      </c>
      <c r="G79" s="120">
        <f t="shared" ref="G79:P79" si="36">F79*(1+$D$14)</f>
        <v>60.900000000000006</v>
      </c>
      <c r="H79" s="120">
        <f t="shared" si="36"/>
        <v>63.945000000000007</v>
      </c>
      <c r="I79" s="120">
        <f t="shared" si="36"/>
        <v>67.142250000000004</v>
      </c>
      <c r="J79" s="120">
        <f t="shared" si="36"/>
        <v>70.499362500000004</v>
      </c>
      <c r="K79" s="120">
        <f t="shared" si="36"/>
        <v>74.024330625000005</v>
      </c>
      <c r="L79" s="120">
        <f t="shared" si="36"/>
        <v>77.725547156250002</v>
      </c>
      <c r="M79" s="120">
        <f t="shared" si="36"/>
        <v>81.611824514062505</v>
      </c>
      <c r="N79" s="120">
        <f t="shared" si="36"/>
        <v>85.692415739765636</v>
      </c>
      <c r="O79" s="120">
        <f t="shared" si="36"/>
        <v>89.97703652675392</v>
      </c>
      <c r="P79" s="124">
        <f t="shared" si="36"/>
        <v>94.475888353091619</v>
      </c>
      <c r="Q79" s="50"/>
      <c r="R79" s="50"/>
      <c r="S79" s="50"/>
      <c r="T79" s="50"/>
      <c r="U79" s="50"/>
      <c r="V79" s="50"/>
      <c r="W79" s="50"/>
      <c r="X79" s="50"/>
      <c r="Y79" s="50"/>
      <c r="Z79" s="50"/>
    </row>
    <row r="80" spans="1:26" ht="15.75" customHeight="1" x14ac:dyDescent="0.35">
      <c r="A80" s="50"/>
      <c r="B80" s="53" t="s">
        <v>175</v>
      </c>
      <c r="C80" s="116" t="s">
        <v>94</v>
      </c>
      <c r="D80" s="80">
        <f>IFERROR(D26,"")</f>
        <v>0</v>
      </c>
      <c r="E80" s="80">
        <f t="shared" ref="E80:F80" si="37">E26</f>
        <v>0</v>
      </c>
      <c r="F80" s="80">
        <f t="shared" si="37"/>
        <v>0</v>
      </c>
      <c r="G80" s="120">
        <f t="shared" ref="G80:P80" si="38">F80*(1+$D$14)</f>
        <v>0</v>
      </c>
      <c r="H80" s="120">
        <f t="shared" si="38"/>
        <v>0</v>
      </c>
      <c r="I80" s="120">
        <f t="shared" si="38"/>
        <v>0</v>
      </c>
      <c r="J80" s="120">
        <f t="shared" si="38"/>
        <v>0</v>
      </c>
      <c r="K80" s="120">
        <f t="shared" si="38"/>
        <v>0</v>
      </c>
      <c r="L80" s="120">
        <f t="shared" si="38"/>
        <v>0</v>
      </c>
      <c r="M80" s="120">
        <f t="shared" si="38"/>
        <v>0</v>
      </c>
      <c r="N80" s="120">
        <f t="shared" si="38"/>
        <v>0</v>
      </c>
      <c r="O80" s="120">
        <f t="shared" si="38"/>
        <v>0</v>
      </c>
      <c r="P80" s="124">
        <f t="shared" si="38"/>
        <v>0</v>
      </c>
      <c r="Q80" s="50"/>
      <c r="R80" s="50"/>
      <c r="S80" s="50"/>
      <c r="T80" s="50"/>
      <c r="U80" s="50"/>
      <c r="V80" s="50"/>
      <c r="W80" s="50"/>
      <c r="X80" s="50"/>
      <c r="Y80" s="50"/>
      <c r="Z80" s="50"/>
    </row>
    <row r="81" spans="1:26" ht="15.75" customHeight="1" x14ac:dyDescent="0.35">
      <c r="A81" s="237"/>
      <c r="B81" s="238" t="s">
        <v>65</v>
      </c>
      <c r="C81" s="237"/>
      <c r="D81" s="240">
        <f t="shared" ref="D81:P81" si="39">SUM(D76:D80)</f>
        <v>4753</v>
      </c>
      <c r="E81" s="240">
        <f t="shared" si="39"/>
        <v>3628</v>
      </c>
      <c r="F81" s="240">
        <f t="shared" si="39"/>
        <v>3834</v>
      </c>
      <c r="G81" s="240">
        <f t="shared" si="39"/>
        <v>4025.7000000000003</v>
      </c>
      <c r="H81" s="240">
        <f t="shared" si="39"/>
        <v>4226.9849999999997</v>
      </c>
      <c r="I81" s="240">
        <f t="shared" si="39"/>
        <v>4438.3342500000008</v>
      </c>
      <c r="J81" s="240">
        <f t="shared" si="39"/>
        <v>4660.2509625000012</v>
      </c>
      <c r="K81" s="240">
        <f t="shared" si="39"/>
        <v>4893.2635106250018</v>
      </c>
      <c r="L81" s="240">
        <f t="shared" si="39"/>
        <v>5137.9266861562519</v>
      </c>
      <c r="M81" s="240">
        <f t="shared" si="39"/>
        <v>5394.823020464064</v>
      </c>
      <c r="N81" s="240">
        <f t="shared" si="39"/>
        <v>5664.5641714872681</v>
      </c>
      <c r="O81" s="240">
        <f t="shared" si="39"/>
        <v>5947.7923800616318</v>
      </c>
      <c r="P81" s="241">
        <f t="shared" si="39"/>
        <v>6245.1819990647127</v>
      </c>
      <c r="Q81" s="237"/>
      <c r="R81" s="237"/>
      <c r="S81" s="237"/>
      <c r="T81" s="237"/>
      <c r="U81" s="237"/>
      <c r="V81" s="237"/>
      <c r="W81" s="237"/>
      <c r="X81" s="237"/>
      <c r="Y81" s="237"/>
      <c r="Z81" s="237"/>
    </row>
    <row r="82" spans="1:26" ht="15.75" customHeight="1" x14ac:dyDescent="0.35">
      <c r="A82" s="50"/>
      <c r="B82" s="62" t="s">
        <v>218</v>
      </c>
      <c r="C82" s="47"/>
      <c r="D82" s="64"/>
      <c r="E82" s="64"/>
      <c r="F82" s="64"/>
      <c r="G82" s="64"/>
      <c r="H82" s="64"/>
      <c r="I82" s="64"/>
      <c r="J82" s="64"/>
      <c r="K82" s="64"/>
      <c r="L82" s="64"/>
      <c r="M82" s="64"/>
      <c r="N82" s="64"/>
      <c r="O82" s="64"/>
      <c r="P82" s="122"/>
      <c r="Q82" s="50"/>
      <c r="R82" s="50"/>
      <c r="S82" s="50"/>
      <c r="T82" s="50"/>
      <c r="U82" s="50"/>
      <c r="V82" s="50"/>
      <c r="W82" s="50"/>
      <c r="X82" s="50"/>
      <c r="Y82" s="50"/>
      <c r="Z82" s="50"/>
    </row>
    <row r="83" spans="1:26" ht="15.75" customHeight="1" x14ac:dyDescent="0.35">
      <c r="A83" s="50"/>
      <c r="B83" s="53" t="s">
        <v>165</v>
      </c>
      <c r="C83" s="116"/>
      <c r="D83" s="125">
        <f t="shared" ref="D83:F83" si="40">D36</f>
        <v>124.70414201183432</v>
      </c>
      <c r="E83" s="125">
        <f t="shared" si="40"/>
        <v>115.36034019695613</v>
      </c>
      <c r="F83" s="125">
        <f t="shared" si="40"/>
        <v>92.68882323978336</v>
      </c>
      <c r="G83" s="126">
        <f t="shared" ref="G83:P83" si="41">F83*(1+$D$18)</f>
        <v>92.68882323978336</v>
      </c>
      <c r="H83" s="126">
        <f t="shared" si="41"/>
        <v>92.68882323978336</v>
      </c>
      <c r="I83" s="126">
        <f t="shared" si="41"/>
        <v>92.68882323978336</v>
      </c>
      <c r="J83" s="126">
        <f t="shared" si="41"/>
        <v>92.68882323978336</v>
      </c>
      <c r="K83" s="126">
        <f t="shared" si="41"/>
        <v>92.68882323978336</v>
      </c>
      <c r="L83" s="126">
        <f t="shared" si="41"/>
        <v>92.68882323978336</v>
      </c>
      <c r="M83" s="126">
        <f t="shared" si="41"/>
        <v>92.68882323978336</v>
      </c>
      <c r="N83" s="126">
        <f t="shared" si="41"/>
        <v>92.68882323978336</v>
      </c>
      <c r="O83" s="126">
        <f t="shared" si="41"/>
        <v>92.68882323978336</v>
      </c>
      <c r="P83" s="127">
        <f t="shared" si="41"/>
        <v>92.68882323978336</v>
      </c>
      <c r="Q83" s="50"/>
      <c r="R83" s="50"/>
      <c r="S83" s="50"/>
      <c r="T83" s="50"/>
      <c r="U83" s="50"/>
      <c r="V83" s="50"/>
      <c r="W83" s="50"/>
      <c r="X83" s="50"/>
      <c r="Y83" s="50"/>
      <c r="Z83" s="50"/>
    </row>
    <row r="84" spans="1:26" ht="15.75" customHeight="1" x14ac:dyDescent="0.35">
      <c r="A84" s="50"/>
      <c r="B84" s="53" t="s">
        <v>166</v>
      </c>
      <c r="C84" s="116"/>
      <c r="D84" s="125">
        <f t="shared" ref="D84:F84" si="42">D37</f>
        <v>1080.8924050632911</v>
      </c>
      <c r="E84" s="125">
        <f t="shared" si="42"/>
        <v>1285.5769230769231</v>
      </c>
      <c r="F84" s="125">
        <f t="shared" si="42"/>
        <v>1482.4105263157894</v>
      </c>
      <c r="G84" s="126">
        <f t="shared" ref="G84:P84" si="43">F84*(1+$D$18)</f>
        <v>1482.4105263157894</v>
      </c>
      <c r="H84" s="126">
        <f t="shared" si="43"/>
        <v>1482.4105263157894</v>
      </c>
      <c r="I84" s="126">
        <f t="shared" si="43"/>
        <v>1482.4105263157894</v>
      </c>
      <c r="J84" s="126">
        <f t="shared" si="43"/>
        <v>1482.4105263157894</v>
      </c>
      <c r="K84" s="126">
        <f t="shared" si="43"/>
        <v>1482.4105263157894</v>
      </c>
      <c r="L84" s="126">
        <f t="shared" si="43"/>
        <v>1482.4105263157894</v>
      </c>
      <c r="M84" s="126">
        <f t="shared" si="43"/>
        <v>1482.4105263157894</v>
      </c>
      <c r="N84" s="126">
        <f t="shared" si="43"/>
        <v>1482.4105263157894</v>
      </c>
      <c r="O84" s="126">
        <f t="shared" si="43"/>
        <v>1482.4105263157894</v>
      </c>
      <c r="P84" s="127">
        <f t="shared" si="43"/>
        <v>1482.4105263157894</v>
      </c>
      <c r="Q84" s="50"/>
      <c r="R84" s="50"/>
      <c r="S84" s="50"/>
      <c r="T84" s="50"/>
      <c r="U84" s="50"/>
      <c r="V84" s="50"/>
      <c r="W84" s="50"/>
      <c r="X84" s="50"/>
      <c r="Y84" s="50"/>
      <c r="Z84" s="50"/>
    </row>
    <row r="85" spans="1:26" ht="15.75" customHeight="1" x14ac:dyDescent="0.35">
      <c r="A85" s="50"/>
      <c r="B85" s="53" t="s">
        <v>172</v>
      </c>
      <c r="C85" s="116"/>
      <c r="D85" s="125">
        <f t="shared" ref="D85:F85" si="44">D38</f>
        <v>122.29272151898734</v>
      </c>
      <c r="E85" s="125">
        <f t="shared" si="44"/>
        <v>122.18557692307692</v>
      </c>
      <c r="F85" s="125">
        <f t="shared" si="44"/>
        <v>114.96377952755905</v>
      </c>
      <c r="G85" s="126">
        <f t="shared" ref="G85:P85" si="45">F85*(1+$D$18)</f>
        <v>114.96377952755905</v>
      </c>
      <c r="H85" s="126">
        <f t="shared" si="45"/>
        <v>114.96377952755905</v>
      </c>
      <c r="I85" s="126">
        <f t="shared" si="45"/>
        <v>114.96377952755905</v>
      </c>
      <c r="J85" s="126">
        <f t="shared" si="45"/>
        <v>114.96377952755905</v>
      </c>
      <c r="K85" s="126">
        <f t="shared" si="45"/>
        <v>114.96377952755905</v>
      </c>
      <c r="L85" s="126">
        <f t="shared" si="45"/>
        <v>114.96377952755905</v>
      </c>
      <c r="M85" s="126">
        <f t="shared" si="45"/>
        <v>114.96377952755905</v>
      </c>
      <c r="N85" s="126">
        <f t="shared" si="45"/>
        <v>114.96377952755905</v>
      </c>
      <c r="O85" s="126">
        <f t="shared" si="45"/>
        <v>114.96377952755905</v>
      </c>
      <c r="P85" s="127">
        <f t="shared" si="45"/>
        <v>114.96377952755905</v>
      </c>
      <c r="Q85" s="50"/>
      <c r="R85" s="50"/>
      <c r="S85" s="50"/>
      <c r="T85" s="50"/>
      <c r="U85" s="50"/>
      <c r="V85" s="50"/>
      <c r="W85" s="50"/>
      <c r="X85" s="50"/>
      <c r="Y85" s="50"/>
      <c r="Z85" s="50"/>
    </row>
    <row r="86" spans="1:26" ht="15.75" customHeight="1" x14ac:dyDescent="0.35">
      <c r="A86" s="50"/>
      <c r="B86" s="53" t="s">
        <v>173</v>
      </c>
      <c r="C86" s="116"/>
      <c r="D86" s="125">
        <f t="shared" ref="D86:F86" si="46">D39</f>
        <v>544.25</v>
      </c>
      <c r="E86" s="125">
        <f t="shared" si="46"/>
        <v>536.76470588235293</v>
      </c>
      <c r="F86" s="125">
        <f t="shared" si="46"/>
        <v>497.75862068965517</v>
      </c>
      <c r="G86" s="126">
        <f t="shared" ref="G86:P86" si="47">F86*(1+$D$18)</f>
        <v>497.75862068965517</v>
      </c>
      <c r="H86" s="126">
        <f t="shared" si="47"/>
        <v>497.75862068965517</v>
      </c>
      <c r="I86" s="126">
        <f t="shared" si="47"/>
        <v>497.75862068965517</v>
      </c>
      <c r="J86" s="126">
        <f t="shared" si="47"/>
        <v>497.75862068965517</v>
      </c>
      <c r="K86" s="126">
        <f t="shared" si="47"/>
        <v>497.75862068965517</v>
      </c>
      <c r="L86" s="126">
        <f t="shared" si="47"/>
        <v>497.75862068965517</v>
      </c>
      <c r="M86" s="126">
        <f t="shared" si="47"/>
        <v>497.75862068965517</v>
      </c>
      <c r="N86" s="126">
        <f t="shared" si="47"/>
        <v>497.75862068965517</v>
      </c>
      <c r="O86" s="126">
        <f t="shared" si="47"/>
        <v>497.75862068965517</v>
      </c>
      <c r="P86" s="127">
        <f t="shared" si="47"/>
        <v>497.75862068965517</v>
      </c>
      <c r="Q86" s="50"/>
      <c r="R86" s="50"/>
      <c r="S86" s="50"/>
      <c r="T86" s="50"/>
      <c r="U86" s="50"/>
      <c r="V86" s="50"/>
      <c r="W86" s="50"/>
      <c r="X86" s="50"/>
      <c r="Y86" s="50"/>
      <c r="Z86" s="50"/>
    </row>
    <row r="87" spans="1:26" ht="15.75" customHeight="1" x14ac:dyDescent="0.35">
      <c r="A87" s="50"/>
      <c r="B87" s="53" t="s">
        <v>175</v>
      </c>
      <c r="C87" s="116"/>
      <c r="D87" s="125" t="str">
        <f>IFERROR('Vasc. Items analysis'!B54,"")</f>
        <v/>
      </c>
      <c r="E87" s="125" t="str">
        <f>IFERROR('Vasc. Items analysis'!C54,"")</f>
        <v/>
      </c>
      <c r="F87" s="125" t="str">
        <f>IFERROR('Vasc. Items analysis'!D54,"")</f>
        <v/>
      </c>
      <c r="G87" s="125" t="str">
        <f>IFERROR('Vasc. Items analysis'!E54,"")</f>
        <v/>
      </c>
      <c r="H87" s="125" t="str">
        <f>IFERROR('Vasc. Items analysis'!F54,"")</f>
        <v/>
      </c>
      <c r="I87" s="125" t="str">
        <f>IFERROR('Vasc. Items analysis'!G54,"")</f>
        <v/>
      </c>
      <c r="J87" s="125">
        <f>IFERROR('Vasc. Items analysis'!H54,"")</f>
        <v>0</v>
      </c>
      <c r="K87" s="64"/>
      <c r="L87" s="64"/>
      <c r="M87" s="64"/>
      <c r="N87" s="64"/>
      <c r="O87" s="64"/>
      <c r="P87" s="122"/>
      <c r="Q87" s="50"/>
      <c r="R87" s="50"/>
      <c r="S87" s="50"/>
      <c r="T87" s="50"/>
      <c r="U87" s="50"/>
      <c r="V87" s="50"/>
      <c r="W87" s="50"/>
      <c r="X87" s="50"/>
      <c r="Y87" s="50"/>
      <c r="Z87" s="50"/>
    </row>
    <row r="88" spans="1:26" ht="15.75" customHeight="1" x14ac:dyDescent="0.35">
      <c r="A88" s="50"/>
      <c r="B88" s="169"/>
      <c r="C88" s="50"/>
      <c r="D88" s="50"/>
      <c r="E88" s="50"/>
      <c r="F88" s="50"/>
      <c r="G88" s="50"/>
      <c r="H88" s="50"/>
      <c r="I88" s="50"/>
      <c r="J88" s="50"/>
      <c r="K88" s="50"/>
      <c r="L88" s="50"/>
      <c r="M88" s="50"/>
      <c r="N88" s="50"/>
      <c r="O88" s="50"/>
      <c r="P88" s="115"/>
      <c r="Q88" s="50"/>
      <c r="R88" s="50"/>
      <c r="S88" s="50"/>
      <c r="T88" s="50"/>
      <c r="U88" s="50"/>
      <c r="V88" s="50"/>
      <c r="W88" s="50"/>
      <c r="X88" s="50"/>
      <c r="Y88" s="50"/>
      <c r="Z88" s="50"/>
    </row>
    <row r="89" spans="1:26" ht="15.75" customHeight="1" x14ac:dyDescent="0.35">
      <c r="A89" s="50"/>
      <c r="B89" s="62" t="s">
        <v>135</v>
      </c>
      <c r="C89" s="50"/>
      <c r="D89" s="50"/>
      <c r="E89" s="50"/>
      <c r="F89" s="50"/>
      <c r="G89" s="50"/>
      <c r="H89" s="50"/>
      <c r="I89" s="50"/>
      <c r="J89" s="50"/>
      <c r="K89" s="50"/>
      <c r="L89" s="50"/>
      <c r="M89" s="50"/>
      <c r="N89" s="50"/>
      <c r="O89" s="50"/>
      <c r="P89" s="115"/>
      <c r="Q89" s="50"/>
      <c r="R89" s="50"/>
      <c r="S89" s="50"/>
      <c r="T89" s="50"/>
      <c r="U89" s="50"/>
      <c r="V89" s="50"/>
      <c r="W89" s="50"/>
      <c r="X89" s="50"/>
      <c r="Y89" s="50"/>
      <c r="Z89" s="50"/>
    </row>
    <row r="90" spans="1:26" ht="15.75" customHeight="1" x14ac:dyDescent="0.35">
      <c r="A90" s="50"/>
      <c r="B90" s="53" t="s">
        <v>165</v>
      </c>
      <c r="C90" s="50"/>
      <c r="D90" s="126">
        <f t="shared" ref="D90:P90" si="48">IFERROR(D69-D83,"")</f>
        <v>203.60915602616006</v>
      </c>
      <c r="E90" s="126">
        <f t="shared" si="48"/>
        <v>198.32184422560431</v>
      </c>
      <c r="F90" s="126">
        <f t="shared" si="48"/>
        <v>161.89069423929101</v>
      </c>
      <c r="G90" s="126">
        <f t="shared" si="48"/>
        <v>164.43648941408173</v>
      </c>
      <c r="H90" s="126">
        <f t="shared" si="48"/>
        <v>167.00774254062037</v>
      </c>
      <c r="I90" s="126">
        <f t="shared" si="48"/>
        <v>169.60470819842442</v>
      </c>
      <c r="J90" s="126">
        <f t="shared" si="48"/>
        <v>172.22764351280648</v>
      </c>
      <c r="K90" s="126">
        <f t="shared" si="48"/>
        <v>174.87680818033238</v>
      </c>
      <c r="L90" s="126">
        <f t="shared" si="48"/>
        <v>177.55246449453352</v>
      </c>
      <c r="M90" s="126">
        <f t="shared" si="48"/>
        <v>180.25487737187672</v>
      </c>
      <c r="N90" s="126">
        <f t="shared" si="48"/>
        <v>182.98431437799331</v>
      </c>
      <c r="O90" s="126">
        <f t="shared" si="48"/>
        <v>185.74104575417107</v>
      </c>
      <c r="P90" s="127">
        <f t="shared" si="48"/>
        <v>188.5253444441106</v>
      </c>
      <c r="Q90" s="50"/>
      <c r="R90" s="50"/>
      <c r="S90" s="50"/>
      <c r="T90" s="50"/>
      <c r="U90" s="50"/>
      <c r="V90" s="50"/>
      <c r="W90" s="50"/>
      <c r="X90" s="50"/>
      <c r="Y90" s="50"/>
      <c r="Z90" s="50"/>
    </row>
    <row r="91" spans="1:26" ht="15.75" customHeight="1" x14ac:dyDescent="0.35">
      <c r="A91" s="50"/>
      <c r="B91" s="53" t="s">
        <v>166</v>
      </c>
      <c r="C91" s="50"/>
      <c r="D91" s="126">
        <f t="shared" ref="D91:P91" si="49">IFERROR(D70-D84,"")</f>
        <v>1447.626582278481</v>
      </c>
      <c r="E91" s="126">
        <f t="shared" si="49"/>
        <v>996.3426573426575</v>
      </c>
      <c r="F91" s="126">
        <f t="shared" si="49"/>
        <v>628.51157894736843</v>
      </c>
      <c r="G91" s="126">
        <f t="shared" si="49"/>
        <v>649.62080000000014</v>
      </c>
      <c r="H91" s="126">
        <f t="shared" si="49"/>
        <v>670.94111326315806</v>
      </c>
      <c r="I91" s="126">
        <f t="shared" si="49"/>
        <v>692.47462965894738</v>
      </c>
      <c r="J91" s="126">
        <f t="shared" si="49"/>
        <v>714.22348121869481</v>
      </c>
      <c r="K91" s="126">
        <f t="shared" si="49"/>
        <v>736.18982129403958</v>
      </c>
      <c r="L91" s="126">
        <f t="shared" si="49"/>
        <v>758.37582477013802</v>
      </c>
      <c r="M91" s="126">
        <f t="shared" si="49"/>
        <v>780.78368828099747</v>
      </c>
      <c r="N91" s="126">
        <f t="shared" si="49"/>
        <v>803.41563042696544</v>
      </c>
      <c r="O91" s="126">
        <f t="shared" si="49"/>
        <v>826.27389199439313</v>
      </c>
      <c r="P91" s="127">
        <f t="shared" si="49"/>
        <v>849.3607361774948</v>
      </c>
      <c r="Q91" s="50"/>
      <c r="R91" s="50"/>
      <c r="S91" s="50"/>
      <c r="T91" s="50"/>
      <c r="U91" s="50"/>
      <c r="V91" s="50"/>
      <c r="W91" s="50"/>
      <c r="X91" s="50"/>
      <c r="Y91" s="50"/>
      <c r="Z91" s="50"/>
    </row>
    <row r="92" spans="1:26" ht="15.75" customHeight="1" x14ac:dyDescent="0.35">
      <c r="A92" s="50"/>
      <c r="B92" s="53" t="s">
        <v>172</v>
      </c>
      <c r="C92" s="50"/>
      <c r="D92" s="126">
        <f t="shared" ref="D92:P92" si="50">IFERROR(D71-D85,"")</f>
        <v>145.18908227848101</v>
      </c>
      <c r="E92" s="126">
        <f t="shared" si="50"/>
        <v>171.20384615384617</v>
      </c>
      <c r="F92" s="126">
        <f t="shared" si="50"/>
        <v>134.92440944881889</v>
      </c>
      <c r="G92" s="126">
        <f t="shared" si="50"/>
        <v>137.42329133858266</v>
      </c>
      <c r="H92" s="126">
        <f t="shared" si="50"/>
        <v>139.94716204724409</v>
      </c>
      <c r="I92" s="126">
        <f t="shared" si="50"/>
        <v>142.49627146299213</v>
      </c>
      <c r="J92" s="126">
        <f t="shared" si="50"/>
        <v>145.07087197289763</v>
      </c>
      <c r="K92" s="126">
        <f t="shared" si="50"/>
        <v>147.67121848790219</v>
      </c>
      <c r="L92" s="126">
        <f t="shared" si="50"/>
        <v>150.2975684680568</v>
      </c>
      <c r="M92" s="126">
        <f t="shared" si="50"/>
        <v>152.95018194801298</v>
      </c>
      <c r="N92" s="126">
        <f t="shared" si="50"/>
        <v>155.62932156276872</v>
      </c>
      <c r="O92" s="126">
        <f t="shared" si="50"/>
        <v>158.33525257367199</v>
      </c>
      <c r="P92" s="127">
        <f t="shared" si="50"/>
        <v>161.06824289468432</v>
      </c>
      <c r="Q92" s="50"/>
      <c r="R92" s="50"/>
      <c r="S92" s="50"/>
      <c r="T92" s="50"/>
      <c r="U92" s="50"/>
      <c r="V92" s="50"/>
      <c r="W92" s="50"/>
      <c r="X92" s="50"/>
      <c r="Y92" s="50"/>
      <c r="Z92" s="50"/>
    </row>
    <row r="93" spans="1:26" ht="15.75" customHeight="1" x14ac:dyDescent="0.35">
      <c r="A93" s="50"/>
      <c r="B93" s="53" t="s">
        <v>173</v>
      </c>
      <c r="C93" s="50"/>
      <c r="D93" s="126">
        <f t="shared" ref="D93:P93" si="51">IFERROR(D72-D86,"")</f>
        <v>350.75</v>
      </c>
      <c r="E93" s="126">
        <f t="shared" si="51"/>
        <v>358.23529411764707</v>
      </c>
      <c r="F93" s="126">
        <f t="shared" si="51"/>
        <v>350.94827586206901</v>
      </c>
      <c r="G93" s="126">
        <f t="shared" si="51"/>
        <v>359.43534482758622</v>
      </c>
      <c r="H93" s="126">
        <f t="shared" si="51"/>
        <v>368.00728448275862</v>
      </c>
      <c r="I93" s="126">
        <f t="shared" si="51"/>
        <v>376.6649435344828</v>
      </c>
      <c r="J93" s="126">
        <f t="shared" si="51"/>
        <v>385.40917917672419</v>
      </c>
      <c r="K93" s="126">
        <f t="shared" si="51"/>
        <v>394.24085717538804</v>
      </c>
      <c r="L93" s="126">
        <f t="shared" si="51"/>
        <v>403.16085195403849</v>
      </c>
      <c r="M93" s="126">
        <f t="shared" si="51"/>
        <v>412.17004668047542</v>
      </c>
      <c r="N93" s="126">
        <f t="shared" si="51"/>
        <v>421.26933335417669</v>
      </c>
      <c r="O93" s="126">
        <f t="shared" si="51"/>
        <v>430.45961289461508</v>
      </c>
      <c r="P93" s="127">
        <f t="shared" si="51"/>
        <v>439.74179523045774</v>
      </c>
      <c r="Q93" s="50"/>
      <c r="R93" s="50"/>
      <c r="S93" s="50"/>
      <c r="T93" s="50"/>
      <c r="U93" s="50"/>
      <c r="V93" s="50"/>
      <c r="W93" s="50"/>
      <c r="X93" s="50"/>
      <c r="Y93" s="50"/>
      <c r="Z93" s="50"/>
    </row>
    <row r="94" spans="1:26" ht="15.75" customHeight="1" x14ac:dyDescent="0.35">
      <c r="A94" s="50"/>
      <c r="B94" s="53" t="s">
        <v>175</v>
      </c>
      <c r="C94" s="50"/>
      <c r="D94" s="126" t="str">
        <f t="shared" ref="D94:P94" si="52">IFERROR(D73-D87,"")</f>
        <v/>
      </c>
      <c r="E94" s="126" t="str">
        <f t="shared" si="52"/>
        <v/>
      </c>
      <c r="F94" s="126" t="str">
        <f t="shared" si="52"/>
        <v/>
      </c>
      <c r="G94" s="126" t="str">
        <f t="shared" si="52"/>
        <v/>
      </c>
      <c r="H94" s="126" t="str">
        <f t="shared" si="52"/>
        <v/>
      </c>
      <c r="I94" s="126" t="str">
        <f t="shared" si="52"/>
        <v/>
      </c>
      <c r="J94" s="126">
        <f t="shared" si="52"/>
        <v>0</v>
      </c>
      <c r="K94" s="126">
        <f t="shared" si="52"/>
        <v>0</v>
      </c>
      <c r="L94" s="126">
        <f t="shared" si="52"/>
        <v>0</v>
      </c>
      <c r="M94" s="126">
        <f t="shared" si="52"/>
        <v>0</v>
      </c>
      <c r="N94" s="126">
        <f t="shared" si="52"/>
        <v>0</v>
      </c>
      <c r="O94" s="126">
        <f t="shared" si="52"/>
        <v>0</v>
      </c>
      <c r="P94" s="127">
        <f t="shared" si="52"/>
        <v>0</v>
      </c>
      <c r="Q94" s="50"/>
      <c r="R94" s="50"/>
      <c r="S94" s="50"/>
      <c r="T94" s="50"/>
      <c r="U94" s="50"/>
      <c r="V94" s="50"/>
      <c r="W94" s="50"/>
      <c r="X94" s="50"/>
      <c r="Y94" s="50"/>
      <c r="Z94" s="50"/>
    </row>
    <row r="95" spans="1:26" ht="15.75" customHeight="1" x14ac:dyDescent="0.35">
      <c r="A95" s="237"/>
      <c r="B95" s="238" t="s">
        <v>65</v>
      </c>
      <c r="C95" s="237"/>
      <c r="D95" s="240">
        <f t="shared" ref="D95:P95" si="53">SUM(D90:D94)</f>
        <v>2147.1748205831218</v>
      </c>
      <c r="E95" s="240">
        <f t="shared" si="53"/>
        <v>1724.103641839755</v>
      </c>
      <c r="F95" s="240">
        <f t="shared" si="53"/>
        <v>1276.2749584975472</v>
      </c>
      <c r="G95" s="240">
        <f t="shared" si="53"/>
        <v>1310.9159255802508</v>
      </c>
      <c r="H95" s="240">
        <f t="shared" si="53"/>
        <v>1345.9033023337811</v>
      </c>
      <c r="I95" s="240">
        <f t="shared" si="53"/>
        <v>1381.2405528548468</v>
      </c>
      <c r="J95" s="240">
        <f t="shared" si="53"/>
        <v>1416.9311758811232</v>
      </c>
      <c r="K95" s="240">
        <f t="shared" si="53"/>
        <v>1452.9787051376622</v>
      </c>
      <c r="L95" s="240">
        <f t="shared" si="53"/>
        <v>1489.3867096867668</v>
      </c>
      <c r="M95" s="240">
        <f t="shared" si="53"/>
        <v>1526.1587942813626</v>
      </c>
      <c r="N95" s="240">
        <f t="shared" si="53"/>
        <v>1563.2985997219041</v>
      </c>
      <c r="O95" s="240">
        <f t="shared" si="53"/>
        <v>1600.8098032168512</v>
      </c>
      <c r="P95" s="241">
        <f t="shared" si="53"/>
        <v>1638.6961187467473</v>
      </c>
      <c r="Q95" s="237"/>
      <c r="R95" s="237"/>
      <c r="S95" s="237"/>
      <c r="T95" s="237"/>
      <c r="U95" s="237"/>
      <c r="V95" s="237"/>
      <c r="W95" s="237"/>
      <c r="X95" s="237"/>
      <c r="Y95" s="237"/>
      <c r="Z95" s="237"/>
    </row>
    <row r="96" spans="1:26" ht="15.75" customHeight="1" x14ac:dyDescent="0.35">
      <c r="A96" s="50"/>
      <c r="B96" s="46" t="s">
        <v>236</v>
      </c>
      <c r="C96" s="50"/>
      <c r="D96" s="50"/>
      <c r="E96" s="50"/>
      <c r="F96" s="50"/>
      <c r="G96" s="50"/>
      <c r="H96" s="50"/>
      <c r="I96" s="50"/>
      <c r="J96" s="50"/>
      <c r="K96" s="50"/>
      <c r="L96" s="50"/>
      <c r="M96" s="50"/>
      <c r="N96" s="50"/>
      <c r="O96" s="50"/>
      <c r="P96" s="115"/>
      <c r="Q96" s="50"/>
      <c r="R96" s="50"/>
      <c r="S96" s="50"/>
      <c r="T96" s="50"/>
      <c r="U96" s="50"/>
      <c r="V96" s="50"/>
      <c r="W96" s="50"/>
      <c r="X96" s="50"/>
      <c r="Y96" s="50"/>
      <c r="Z96" s="50"/>
    </row>
    <row r="97" spans="1:26" ht="15.75" customHeight="1" x14ac:dyDescent="0.35">
      <c r="A97" s="50"/>
      <c r="B97" s="53" t="s">
        <v>165</v>
      </c>
      <c r="C97" s="50"/>
      <c r="D97" s="64">
        <f t="shared" ref="D97:P97" si="54">IFERROR(D76*D90,"")</f>
        <v>653789</v>
      </c>
      <c r="E97" s="64">
        <f t="shared" si="54"/>
        <v>443051</v>
      </c>
      <c r="F97" s="64">
        <f t="shared" si="54"/>
        <v>328800.00000000006</v>
      </c>
      <c r="G97" s="64">
        <f t="shared" si="54"/>
        <v>350669.03550000006</v>
      </c>
      <c r="H97" s="64">
        <f t="shared" si="54"/>
        <v>373959.97942275001</v>
      </c>
      <c r="I97" s="64">
        <f t="shared" si="54"/>
        <v>398763.79881657643</v>
      </c>
      <c r="J97" s="64">
        <f t="shared" si="54"/>
        <v>425177.21131566685</v>
      </c>
      <c r="K97" s="64">
        <f t="shared" si="54"/>
        <v>453303.04540448659</v>
      </c>
      <c r="L97" s="64">
        <f t="shared" si="54"/>
        <v>483250.62309589097</v>
      </c>
      <c r="M97" s="64">
        <f t="shared" si="54"/>
        <v>515136.16640984715</v>
      </c>
      <c r="N97" s="64">
        <f t="shared" si="54"/>
        <v>549083.22912513022</v>
      </c>
      <c r="O97" s="64">
        <f t="shared" si="54"/>
        <v>585223.15536706231</v>
      </c>
      <c r="P97" s="122">
        <f t="shared" si="54"/>
        <v>623695.56669062434</v>
      </c>
      <c r="Q97" s="50"/>
      <c r="R97" s="50"/>
      <c r="S97" s="50"/>
      <c r="T97" s="50"/>
      <c r="U97" s="50"/>
      <c r="V97" s="50"/>
      <c r="W97" s="50"/>
      <c r="X97" s="50"/>
      <c r="Y97" s="50"/>
      <c r="Z97" s="50"/>
    </row>
    <row r="98" spans="1:26" ht="15.75" customHeight="1" x14ac:dyDescent="0.35">
      <c r="A98" s="50"/>
      <c r="B98" s="53" t="s">
        <v>166</v>
      </c>
      <c r="C98" s="50"/>
      <c r="D98" s="64">
        <f t="shared" ref="D98:P98" si="55">IFERROR(D77*D91,"")</f>
        <v>228725</v>
      </c>
      <c r="E98" s="64">
        <f t="shared" si="55"/>
        <v>284954.00000000006</v>
      </c>
      <c r="F98" s="64">
        <f t="shared" si="55"/>
        <v>298543</v>
      </c>
      <c r="G98" s="64">
        <f t="shared" si="55"/>
        <v>323998.37400000007</v>
      </c>
      <c r="H98" s="64">
        <f t="shared" si="55"/>
        <v>351363.4742520001</v>
      </c>
      <c r="I98" s="64">
        <f t="shared" si="55"/>
        <v>380772.32300049602</v>
      </c>
      <c r="J98" s="64">
        <f t="shared" si="55"/>
        <v>412367.97502608865</v>
      </c>
      <c r="K98" s="64">
        <f t="shared" si="55"/>
        <v>446303.1103234326</v>
      </c>
      <c r="L98" s="64">
        <f t="shared" si="55"/>
        <v>482740.66494667932</v>
      </c>
      <c r="M98" s="64">
        <f t="shared" si="55"/>
        <v>521854.50244706642</v>
      </c>
      <c r="N98" s="64">
        <f t="shared" si="55"/>
        <v>563830.12847978249</v>
      </c>
      <c r="O98" s="64">
        <f t="shared" si="55"/>
        <v>608865.4513192114</v>
      </c>
      <c r="P98" s="122">
        <f t="shared" si="55"/>
        <v>657171.59119374561</v>
      </c>
      <c r="Q98" s="50"/>
      <c r="R98" s="50"/>
      <c r="S98" s="50"/>
      <c r="T98" s="50"/>
      <c r="U98" s="50"/>
      <c r="V98" s="50"/>
      <c r="W98" s="50"/>
      <c r="X98" s="50"/>
      <c r="Y98" s="50"/>
      <c r="Z98" s="50"/>
    </row>
    <row r="99" spans="1:26" ht="15.75" customHeight="1" x14ac:dyDescent="0.35">
      <c r="A99" s="50"/>
      <c r="B99" s="53" t="s">
        <v>172</v>
      </c>
      <c r="C99" s="50"/>
      <c r="D99" s="64">
        <f t="shared" ref="D99:P99" si="56">IFERROR(D78*D92,"")</f>
        <v>183519</v>
      </c>
      <c r="E99" s="64">
        <f t="shared" si="56"/>
        <v>178052.00000000003</v>
      </c>
      <c r="F99" s="64">
        <f t="shared" si="56"/>
        <v>171354</v>
      </c>
      <c r="G99" s="64">
        <f t="shared" si="56"/>
        <v>183253.95899999997</v>
      </c>
      <c r="H99" s="64">
        <f t="shared" si="56"/>
        <v>195950.51761949999</v>
      </c>
      <c r="I99" s="64">
        <f t="shared" si="56"/>
        <v>209495.70274047973</v>
      </c>
      <c r="J99" s="64">
        <f t="shared" si="56"/>
        <v>223944.88050152877</v>
      </c>
      <c r="K99" s="64">
        <f t="shared" si="56"/>
        <v>239356.96790438375</v>
      </c>
      <c r="L99" s="64">
        <f t="shared" si="56"/>
        <v>255794.65770173707</v>
      </c>
      <c r="M99" s="64">
        <f t="shared" si="56"/>
        <v>273324.65739378729</v>
      </c>
      <c r="N99" s="64">
        <f t="shared" si="56"/>
        <v>292017.94321226125</v>
      </c>
      <c r="O99" s="64">
        <f t="shared" si="56"/>
        <v>311950.03002506035</v>
      </c>
      <c r="P99" s="122">
        <f t="shared" si="56"/>
        <v>333201.2581524566</v>
      </c>
      <c r="Q99" s="50"/>
      <c r="R99" s="50"/>
      <c r="S99" s="50"/>
      <c r="T99" s="50"/>
      <c r="U99" s="50"/>
      <c r="V99" s="50"/>
      <c r="W99" s="50"/>
      <c r="X99" s="50"/>
      <c r="Y99" s="50"/>
      <c r="Z99" s="50"/>
    </row>
    <row r="100" spans="1:26" ht="15.75" customHeight="1" x14ac:dyDescent="0.35">
      <c r="A100" s="50"/>
      <c r="B100" s="53" t="s">
        <v>173</v>
      </c>
      <c r="C100" s="50"/>
      <c r="D100" s="64">
        <f t="shared" ref="D100:P100" si="57">IFERROR(D79*D93,"")</f>
        <v>42090</v>
      </c>
      <c r="E100" s="64">
        <f t="shared" si="57"/>
        <v>24360</v>
      </c>
      <c r="F100" s="64">
        <f t="shared" si="57"/>
        <v>20355.000000000004</v>
      </c>
      <c r="G100" s="64">
        <f t="shared" si="57"/>
        <v>21889.612500000003</v>
      </c>
      <c r="H100" s="64">
        <f t="shared" si="57"/>
        <v>23532.225806250004</v>
      </c>
      <c r="I100" s="64">
        <f t="shared" si="57"/>
        <v>25290.13180502813</v>
      </c>
      <c r="J100" s="64">
        <f t="shared" si="57"/>
        <v>27171.101433607331</v>
      </c>
      <c r="K100" s="64">
        <f t="shared" si="57"/>
        <v>29183.415557434331</v>
      </c>
      <c r="L100" s="64">
        <f t="shared" si="57"/>
        <v>31335.897810107545</v>
      </c>
      <c r="M100" s="64">
        <f t="shared" si="57"/>
        <v>33637.949519639908</v>
      </c>
      <c r="N100" s="64">
        <f t="shared" si="57"/>
        <v>36099.586852200031</v>
      </c>
      <c r="O100" s="64">
        <f t="shared" si="57"/>
        <v>38731.480312711137</v>
      </c>
      <c r="P100" s="122">
        <f t="shared" si="57"/>
        <v>41544.9967503808</v>
      </c>
      <c r="Q100" s="50"/>
      <c r="R100" s="50"/>
      <c r="S100" s="50"/>
      <c r="T100" s="50"/>
      <c r="U100" s="50"/>
      <c r="V100" s="50"/>
      <c r="W100" s="50"/>
      <c r="X100" s="50"/>
      <c r="Y100" s="50"/>
      <c r="Z100" s="50"/>
    </row>
    <row r="101" spans="1:26" ht="15.75" customHeight="1" x14ac:dyDescent="0.35">
      <c r="A101" s="50"/>
      <c r="B101" s="53" t="s">
        <v>175</v>
      </c>
      <c r="C101" s="50"/>
      <c r="D101" s="64" t="str">
        <f t="shared" ref="D101:P101" si="58">IFERROR(D80*D94,"")</f>
        <v/>
      </c>
      <c r="E101" s="64" t="str">
        <f t="shared" si="58"/>
        <v/>
      </c>
      <c r="F101" s="64" t="str">
        <f t="shared" si="58"/>
        <v/>
      </c>
      <c r="G101" s="64" t="str">
        <f t="shared" si="58"/>
        <v/>
      </c>
      <c r="H101" s="64" t="str">
        <f t="shared" si="58"/>
        <v/>
      </c>
      <c r="I101" s="64" t="str">
        <f t="shared" si="58"/>
        <v/>
      </c>
      <c r="J101" s="64">
        <f t="shared" si="58"/>
        <v>0</v>
      </c>
      <c r="K101" s="64">
        <f t="shared" si="58"/>
        <v>0</v>
      </c>
      <c r="L101" s="64">
        <f t="shared" si="58"/>
        <v>0</v>
      </c>
      <c r="M101" s="64">
        <f t="shared" si="58"/>
        <v>0</v>
      </c>
      <c r="N101" s="64">
        <f t="shared" si="58"/>
        <v>0</v>
      </c>
      <c r="O101" s="64">
        <f t="shared" si="58"/>
        <v>0</v>
      </c>
      <c r="P101" s="122">
        <f t="shared" si="58"/>
        <v>0</v>
      </c>
      <c r="Q101" s="50"/>
      <c r="R101" s="50"/>
      <c r="S101" s="50"/>
      <c r="T101" s="50"/>
      <c r="U101" s="50"/>
      <c r="V101" s="50"/>
      <c r="W101" s="50"/>
      <c r="X101" s="50"/>
      <c r="Y101" s="50"/>
      <c r="Z101" s="50"/>
    </row>
    <row r="102" spans="1:26" ht="15.75" customHeight="1" x14ac:dyDescent="0.35">
      <c r="A102" s="237"/>
      <c r="B102" s="238" t="s">
        <v>65</v>
      </c>
      <c r="C102" s="237"/>
      <c r="D102" s="252">
        <f t="shared" ref="D102:P102" si="59">SUM(D97:D101)</f>
        <v>1108123</v>
      </c>
      <c r="E102" s="252">
        <f t="shared" si="59"/>
        <v>930417</v>
      </c>
      <c r="F102" s="252">
        <f t="shared" si="59"/>
        <v>819052</v>
      </c>
      <c r="G102" s="252">
        <f t="shared" si="59"/>
        <v>879810.98100000015</v>
      </c>
      <c r="H102" s="252">
        <f t="shared" si="59"/>
        <v>944806.19710050011</v>
      </c>
      <c r="I102" s="252">
        <f t="shared" si="59"/>
        <v>1014321.9563625803</v>
      </c>
      <c r="J102" s="252">
        <f t="shared" si="59"/>
        <v>1088661.1682768916</v>
      </c>
      <c r="K102" s="252">
        <f t="shared" si="59"/>
        <v>1168146.5391897373</v>
      </c>
      <c r="L102" s="252">
        <f t="shared" si="59"/>
        <v>1253121.8435544148</v>
      </c>
      <c r="M102" s="252">
        <f t="shared" si="59"/>
        <v>1343953.2757703406</v>
      </c>
      <c r="N102" s="252">
        <f t="shared" si="59"/>
        <v>1441030.887669374</v>
      </c>
      <c r="O102" s="252">
        <f t="shared" si="59"/>
        <v>1544770.117024045</v>
      </c>
      <c r="P102" s="253">
        <f t="shared" si="59"/>
        <v>1655613.4127872074</v>
      </c>
      <c r="Q102" s="237"/>
      <c r="R102" s="237"/>
      <c r="S102" s="237"/>
      <c r="T102" s="237"/>
      <c r="U102" s="237"/>
      <c r="V102" s="237"/>
      <c r="W102" s="237"/>
      <c r="X102" s="237"/>
      <c r="Y102" s="237"/>
      <c r="Z102" s="237"/>
    </row>
    <row r="103" spans="1:26" ht="15.75" customHeight="1" x14ac:dyDescent="0.35">
      <c r="A103" s="50"/>
      <c r="B103" s="131" t="s">
        <v>137</v>
      </c>
      <c r="C103" s="132" t="s">
        <v>138</v>
      </c>
      <c r="D103" s="133">
        <f t="array" ref="D103">NPV(D19,D102:P102)</f>
        <v>7781880.0456883181</v>
      </c>
      <c r="E103" s="134"/>
      <c r="F103" s="134"/>
      <c r="G103" s="134"/>
      <c r="H103" s="134"/>
      <c r="I103" s="134"/>
      <c r="J103" s="134"/>
      <c r="K103" s="134"/>
      <c r="L103" s="134"/>
      <c r="M103" s="134"/>
      <c r="N103" s="134"/>
      <c r="O103" s="134"/>
      <c r="P103" s="136"/>
      <c r="Q103" s="50"/>
      <c r="R103" s="50"/>
      <c r="S103" s="50"/>
      <c r="T103" s="50"/>
      <c r="U103" s="50"/>
      <c r="V103" s="50"/>
      <c r="W103" s="50"/>
      <c r="X103" s="50"/>
      <c r="Y103" s="50"/>
      <c r="Z103" s="50"/>
    </row>
    <row r="104" spans="1:26" ht="15.75" customHeight="1" x14ac:dyDescent="0.3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35">
      <c r="A105" s="50"/>
      <c r="B105" s="35" t="s">
        <v>55</v>
      </c>
      <c r="C105" s="38"/>
      <c r="D105" s="565" t="s">
        <v>129</v>
      </c>
      <c r="E105" s="552"/>
      <c r="F105" s="553"/>
      <c r="G105" s="112" t="s">
        <v>130</v>
      </c>
      <c r="H105" s="38" t="e">
        <f t="shared" ref="H105:P105" si="60">+G105+1</f>
        <v>#VALUE!</v>
      </c>
      <c r="I105" s="38" t="e">
        <f t="shared" si="60"/>
        <v>#VALUE!</v>
      </c>
      <c r="J105" s="38" t="e">
        <f t="shared" si="60"/>
        <v>#VALUE!</v>
      </c>
      <c r="K105" s="38" t="e">
        <f t="shared" si="60"/>
        <v>#VALUE!</v>
      </c>
      <c r="L105" s="38" t="e">
        <f t="shared" si="60"/>
        <v>#VALUE!</v>
      </c>
      <c r="M105" s="38" t="e">
        <f t="shared" si="60"/>
        <v>#VALUE!</v>
      </c>
      <c r="N105" s="38" t="e">
        <f t="shared" si="60"/>
        <v>#VALUE!</v>
      </c>
      <c r="O105" s="38" t="e">
        <f t="shared" si="60"/>
        <v>#VALUE!</v>
      </c>
      <c r="P105" s="39" t="e">
        <f t="shared" si="60"/>
        <v>#VALUE!</v>
      </c>
      <c r="Q105" s="50"/>
      <c r="R105" s="50"/>
      <c r="S105" s="50"/>
      <c r="T105" s="50"/>
      <c r="U105" s="50"/>
      <c r="V105" s="50"/>
      <c r="W105" s="50"/>
      <c r="X105" s="50"/>
      <c r="Y105" s="50"/>
      <c r="Z105" s="50"/>
    </row>
    <row r="106" spans="1:26" ht="15.75" customHeight="1" x14ac:dyDescent="0.35">
      <c r="A106" s="50"/>
      <c r="B106" s="40"/>
      <c r="C106" s="113"/>
      <c r="D106" s="159" t="e">
        <f>D60</f>
        <v>#REF!</v>
      </c>
      <c r="E106" s="159" t="e">
        <f>+D106+1</f>
        <v>#REF!</v>
      </c>
      <c r="F106" s="159" t="e">
        <f t="shared" ref="F106:P106" si="61">E106+1</f>
        <v>#REF!</v>
      </c>
      <c r="G106" s="159" t="e">
        <f t="shared" si="61"/>
        <v>#REF!</v>
      </c>
      <c r="H106" s="159" t="e">
        <f t="shared" si="61"/>
        <v>#REF!</v>
      </c>
      <c r="I106" s="159" t="e">
        <f t="shared" si="61"/>
        <v>#REF!</v>
      </c>
      <c r="J106" s="159" t="e">
        <f t="shared" si="61"/>
        <v>#REF!</v>
      </c>
      <c r="K106" s="159" t="e">
        <f t="shared" si="61"/>
        <v>#REF!</v>
      </c>
      <c r="L106" s="159" t="e">
        <f t="shared" si="61"/>
        <v>#REF!</v>
      </c>
      <c r="M106" s="159" t="e">
        <f t="shared" si="61"/>
        <v>#REF!</v>
      </c>
      <c r="N106" s="159" t="e">
        <f t="shared" si="61"/>
        <v>#REF!</v>
      </c>
      <c r="O106" s="159" t="e">
        <f t="shared" si="61"/>
        <v>#REF!</v>
      </c>
      <c r="P106" s="160" t="e">
        <f t="shared" si="61"/>
        <v>#REF!</v>
      </c>
      <c r="Q106" s="50"/>
      <c r="R106" s="50"/>
      <c r="S106" s="50"/>
      <c r="T106" s="50"/>
      <c r="U106" s="50"/>
      <c r="V106" s="50"/>
      <c r="W106" s="50"/>
      <c r="X106" s="50"/>
      <c r="Y106" s="50"/>
      <c r="Z106" s="50"/>
    </row>
    <row r="107" spans="1:26" ht="15.75" customHeight="1" x14ac:dyDescent="0.35">
      <c r="A107" s="50"/>
      <c r="B107" s="46" t="s">
        <v>220</v>
      </c>
      <c r="C107" s="47"/>
      <c r="D107" s="49"/>
      <c r="E107" s="49"/>
      <c r="F107" s="49"/>
      <c r="G107" s="49"/>
      <c r="H107" s="49"/>
      <c r="I107" s="49"/>
      <c r="J107" s="49"/>
      <c r="K107" s="49"/>
      <c r="L107" s="49"/>
      <c r="M107" s="49"/>
      <c r="N107" s="50"/>
      <c r="O107" s="50"/>
      <c r="P107" s="115"/>
      <c r="Q107" s="50"/>
      <c r="R107" s="50"/>
      <c r="S107" s="50"/>
      <c r="T107" s="50"/>
      <c r="U107" s="50"/>
      <c r="V107" s="50"/>
      <c r="W107" s="50"/>
      <c r="X107" s="50"/>
      <c r="Y107" s="50"/>
      <c r="Z107" s="50"/>
    </row>
    <row r="108" spans="1:26" ht="15.75" customHeight="1" x14ac:dyDescent="0.35">
      <c r="A108" s="50"/>
      <c r="B108" s="53" t="s">
        <v>165</v>
      </c>
      <c r="C108" s="190" t="s">
        <v>109</v>
      </c>
      <c r="D108" s="195">
        <f t="shared" ref="D108:P108" si="62">IFERROR(D76/D62,"")</f>
        <v>7.4362826697505682E-3</v>
      </c>
      <c r="E108" s="195">
        <f t="shared" si="62"/>
        <v>5.6722561028085278E-3</v>
      </c>
      <c r="F108" s="195">
        <f t="shared" si="62"/>
        <v>5.8004075479251068E-3</v>
      </c>
      <c r="G108" s="195">
        <f t="shared" si="62"/>
        <v>5.8276030287258279E-3</v>
      </c>
      <c r="H108" s="145">
        <f t="shared" si="62"/>
        <v>5.854926016804248E-3</v>
      </c>
      <c r="I108" s="145">
        <f t="shared" si="62"/>
        <v>5.8823771099841748E-3</v>
      </c>
      <c r="J108" s="145">
        <f t="shared" si="62"/>
        <v>5.9099569088923399E-3</v>
      </c>
      <c r="K108" s="145">
        <f t="shared" si="62"/>
        <v>5.9376660169715417E-3</v>
      </c>
      <c r="L108" s="145">
        <f t="shared" si="62"/>
        <v>5.9655050404938473E-3</v>
      </c>
      <c r="M108" s="145">
        <f t="shared" si="62"/>
        <v>5.9934745885738593E-3</v>
      </c>
      <c r="N108" s="145">
        <f t="shared" si="62"/>
        <v>6.0215752731820433E-3</v>
      </c>
      <c r="O108" s="145">
        <f t="shared" si="62"/>
        <v>6.049807709158115E-3</v>
      </c>
      <c r="P108" s="146">
        <f t="shared" si="62"/>
        <v>6.0781725142244969E-3</v>
      </c>
      <c r="Q108" s="50"/>
      <c r="R108" s="50"/>
      <c r="S108" s="50"/>
      <c r="T108" s="50"/>
      <c r="U108" s="50"/>
      <c r="V108" s="50"/>
      <c r="W108" s="50"/>
      <c r="X108" s="50"/>
      <c r="Y108" s="50"/>
      <c r="Z108" s="50"/>
    </row>
    <row r="109" spans="1:26" ht="15.75" customHeight="1" x14ac:dyDescent="0.35">
      <c r="A109" s="50"/>
      <c r="B109" s="53" t="s">
        <v>166</v>
      </c>
      <c r="C109" s="190" t="s">
        <v>109</v>
      </c>
      <c r="D109" s="195">
        <f t="shared" ref="D109:P109" si="63">IFERROR(D77/D63,"")</f>
        <v>7.436282669750569E-3</v>
      </c>
      <c r="E109" s="195">
        <f t="shared" si="63"/>
        <v>5.6722561028085278E-3</v>
      </c>
      <c r="F109" s="195">
        <f t="shared" si="63"/>
        <v>5.8004075479251059E-3</v>
      </c>
      <c r="G109" s="195">
        <f t="shared" si="63"/>
        <v>5.8276030287258262E-3</v>
      </c>
      <c r="H109" s="145">
        <f t="shared" si="63"/>
        <v>5.8549260168042471E-3</v>
      </c>
      <c r="I109" s="145">
        <f t="shared" si="63"/>
        <v>5.8823771099841739E-3</v>
      </c>
      <c r="J109" s="145">
        <f t="shared" si="63"/>
        <v>5.9099569088923399E-3</v>
      </c>
      <c r="K109" s="145">
        <f t="shared" si="63"/>
        <v>5.9376660169715408E-3</v>
      </c>
      <c r="L109" s="145">
        <f t="shared" si="63"/>
        <v>5.9655050404938464E-3</v>
      </c>
      <c r="M109" s="145">
        <f t="shared" si="63"/>
        <v>5.9934745885738584E-3</v>
      </c>
      <c r="N109" s="145">
        <f t="shared" si="63"/>
        <v>6.0215752731820425E-3</v>
      </c>
      <c r="O109" s="145">
        <f t="shared" si="63"/>
        <v>6.0498077091581141E-3</v>
      </c>
      <c r="P109" s="146">
        <f t="shared" si="63"/>
        <v>6.0781725142244961E-3</v>
      </c>
      <c r="Q109" s="50"/>
      <c r="R109" s="50"/>
      <c r="S109" s="50"/>
      <c r="T109" s="50"/>
      <c r="U109" s="50"/>
      <c r="V109" s="50"/>
      <c r="W109" s="50"/>
      <c r="X109" s="50"/>
      <c r="Y109" s="50"/>
      <c r="Z109" s="50"/>
    </row>
    <row r="110" spans="1:26" ht="15.75" customHeight="1" x14ac:dyDescent="0.35">
      <c r="A110" s="50"/>
      <c r="B110" s="53" t="s">
        <v>172</v>
      </c>
      <c r="C110" s="190" t="s">
        <v>109</v>
      </c>
      <c r="D110" s="195">
        <f t="shared" ref="D110:P110" si="64">IFERROR(D78/D64,"")</f>
        <v>7.436282669750569E-3</v>
      </c>
      <c r="E110" s="195">
        <f t="shared" si="64"/>
        <v>5.6722561028085278E-3</v>
      </c>
      <c r="F110" s="195">
        <f t="shared" si="64"/>
        <v>5.8004075479251059E-3</v>
      </c>
      <c r="G110" s="195">
        <f t="shared" si="64"/>
        <v>5.827603028725827E-3</v>
      </c>
      <c r="H110" s="145">
        <f t="shared" si="64"/>
        <v>5.8549260168042471E-3</v>
      </c>
      <c r="I110" s="145">
        <f t="shared" si="64"/>
        <v>5.8823771099841731E-3</v>
      </c>
      <c r="J110" s="145">
        <f t="shared" si="64"/>
        <v>5.9099569088923382E-3</v>
      </c>
      <c r="K110" s="145">
        <f t="shared" si="64"/>
        <v>5.9376660169715399E-3</v>
      </c>
      <c r="L110" s="145">
        <f t="shared" si="64"/>
        <v>5.9655050404938455E-3</v>
      </c>
      <c r="M110" s="145">
        <f t="shared" si="64"/>
        <v>5.9934745885738576E-3</v>
      </c>
      <c r="N110" s="145">
        <f t="shared" si="64"/>
        <v>6.0215752731820407E-3</v>
      </c>
      <c r="O110" s="145">
        <f t="shared" si="64"/>
        <v>6.0498077091581141E-3</v>
      </c>
      <c r="P110" s="146">
        <f t="shared" si="64"/>
        <v>6.0781725142244952E-3</v>
      </c>
      <c r="Q110" s="50"/>
      <c r="R110" s="50"/>
      <c r="S110" s="50"/>
      <c r="T110" s="50"/>
      <c r="U110" s="50"/>
      <c r="V110" s="50"/>
      <c r="W110" s="50"/>
      <c r="X110" s="50"/>
      <c r="Y110" s="50"/>
      <c r="Z110" s="50"/>
    </row>
    <row r="111" spans="1:26" ht="15.75" customHeight="1" x14ac:dyDescent="0.35">
      <c r="A111" s="50"/>
      <c r="B111" s="53" t="s">
        <v>173</v>
      </c>
      <c r="C111" s="190" t="s">
        <v>109</v>
      </c>
      <c r="D111" s="195">
        <f t="shared" ref="D111:P111" si="65">IFERROR(D79/D65,"")</f>
        <v>7.4362826697505682E-3</v>
      </c>
      <c r="E111" s="195">
        <f t="shared" si="65"/>
        <v>5.6722561028085278E-3</v>
      </c>
      <c r="F111" s="195">
        <f t="shared" si="65"/>
        <v>5.8004075479251059E-3</v>
      </c>
      <c r="G111" s="195">
        <f t="shared" si="65"/>
        <v>5.8276030287258279E-3</v>
      </c>
      <c r="H111" s="145">
        <f t="shared" si="65"/>
        <v>5.8549260168042488E-3</v>
      </c>
      <c r="I111" s="145">
        <f t="shared" si="65"/>
        <v>5.8823771099841748E-3</v>
      </c>
      <c r="J111" s="145">
        <f t="shared" si="65"/>
        <v>5.9099569088923391E-3</v>
      </c>
      <c r="K111" s="145">
        <f t="shared" si="65"/>
        <v>5.9376660169715399E-3</v>
      </c>
      <c r="L111" s="145">
        <f t="shared" si="65"/>
        <v>5.9655050404938447E-3</v>
      </c>
      <c r="M111" s="145">
        <f t="shared" si="65"/>
        <v>5.9934745885738567E-3</v>
      </c>
      <c r="N111" s="145">
        <f t="shared" si="65"/>
        <v>6.0215752731820407E-3</v>
      </c>
      <c r="O111" s="145">
        <f t="shared" si="65"/>
        <v>6.0498077091581124E-3</v>
      </c>
      <c r="P111" s="146">
        <f t="shared" si="65"/>
        <v>6.0781725142244935E-3</v>
      </c>
      <c r="Q111" s="50"/>
      <c r="R111" s="50"/>
      <c r="S111" s="50"/>
      <c r="T111" s="50"/>
      <c r="U111" s="50"/>
      <c r="V111" s="50"/>
      <c r="W111" s="50"/>
      <c r="X111" s="50"/>
      <c r="Y111" s="50"/>
      <c r="Z111" s="50"/>
    </row>
    <row r="112" spans="1:26" ht="15.75" customHeight="1" x14ac:dyDescent="0.35">
      <c r="A112" s="50"/>
      <c r="B112" s="72" t="s">
        <v>175</v>
      </c>
      <c r="C112" s="272" t="s">
        <v>109</v>
      </c>
      <c r="D112" s="259" t="str">
        <f t="shared" ref="D112:P112" si="66">IFERROR(D80/D66,"")</f>
        <v/>
      </c>
      <c r="E112" s="259" t="str">
        <f t="shared" si="66"/>
        <v/>
      </c>
      <c r="F112" s="259" t="str">
        <f t="shared" si="66"/>
        <v/>
      </c>
      <c r="G112" s="259" t="str">
        <f t="shared" si="66"/>
        <v/>
      </c>
      <c r="H112" s="259" t="str">
        <f t="shared" si="66"/>
        <v/>
      </c>
      <c r="I112" s="259" t="str">
        <f t="shared" si="66"/>
        <v/>
      </c>
      <c r="J112" s="259" t="str">
        <f t="shared" si="66"/>
        <v/>
      </c>
      <c r="K112" s="259" t="str">
        <f t="shared" si="66"/>
        <v/>
      </c>
      <c r="L112" s="259" t="str">
        <f t="shared" si="66"/>
        <v/>
      </c>
      <c r="M112" s="259" t="str">
        <f t="shared" si="66"/>
        <v/>
      </c>
      <c r="N112" s="259" t="str">
        <f t="shared" si="66"/>
        <v/>
      </c>
      <c r="O112" s="259" t="str">
        <f t="shared" si="66"/>
        <v/>
      </c>
      <c r="P112" s="260" t="str">
        <f t="shared" si="66"/>
        <v/>
      </c>
      <c r="Q112" s="50"/>
      <c r="R112" s="50"/>
      <c r="S112" s="50"/>
      <c r="T112" s="50"/>
      <c r="U112" s="50"/>
      <c r="V112" s="50"/>
      <c r="W112" s="50"/>
      <c r="X112" s="50"/>
      <c r="Y112" s="50"/>
      <c r="Z112" s="50"/>
    </row>
    <row r="113" spans="1:26" ht="15.75" customHeight="1" x14ac:dyDescent="0.35">
      <c r="A113" s="50"/>
      <c r="B113" s="198" t="s">
        <v>221</v>
      </c>
      <c r="C113" s="272" t="s">
        <v>109</v>
      </c>
      <c r="D113" s="259">
        <f t="shared" ref="D113:P113" si="67">IFERROR(D81/D67,"")</f>
        <v>7.436282669750569E-3</v>
      </c>
      <c r="E113" s="259">
        <f t="shared" si="67"/>
        <v>5.6722561028085278E-3</v>
      </c>
      <c r="F113" s="259">
        <f t="shared" si="67"/>
        <v>5.8004075479251059E-3</v>
      </c>
      <c r="G113" s="259">
        <f t="shared" si="67"/>
        <v>5.8276030287258279E-3</v>
      </c>
      <c r="H113" s="259">
        <f t="shared" si="67"/>
        <v>5.8549260168042471E-3</v>
      </c>
      <c r="I113" s="259">
        <f t="shared" si="67"/>
        <v>5.8823771099841757E-3</v>
      </c>
      <c r="J113" s="259">
        <f t="shared" si="67"/>
        <v>5.9099569088923408E-3</v>
      </c>
      <c r="K113" s="259">
        <f t="shared" si="67"/>
        <v>5.9376660169715417E-3</v>
      </c>
      <c r="L113" s="259">
        <f t="shared" si="67"/>
        <v>5.9655050404938473E-3</v>
      </c>
      <c r="M113" s="259">
        <f t="shared" si="67"/>
        <v>5.9934745885738584E-3</v>
      </c>
      <c r="N113" s="259">
        <f t="shared" si="67"/>
        <v>6.0215752731820425E-3</v>
      </c>
      <c r="O113" s="259">
        <f t="shared" si="67"/>
        <v>6.049807709158115E-3</v>
      </c>
      <c r="P113" s="260">
        <f t="shared" si="67"/>
        <v>6.0781725142244952E-3</v>
      </c>
      <c r="Q113" s="50"/>
      <c r="R113" s="50"/>
      <c r="S113" s="50"/>
      <c r="T113" s="50"/>
      <c r="U113" s="50"/>
      <c r="V113" s="50"/>
      <c r="W113" s="50"/>
      <c r="X113" s="50"/>
      <c r="Y113" s="50"/>
      <c r="Z113" s="50"/>
    </row>
    <row r="114" spans="1:26" ht="15.75" customHeight="1" x14ac:dyDescent="0.3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50"/>
      <c r="D115" s="50"/>
      <c r="E115" s="50"/>
      <c r="F115" s="64"/>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50"/>
      <c r="D116" s="50"/>
      <c r="E116" s="50"/>
      <c r="F116" s="126"/>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
    <row r="264" spans="1:26" ht="15.75" customHeight="1" x14ac:dyDescent="0.3"/>
    <row r="265" spans="1:26" ht="15.75" customHeight="1" x14ac:dyDescent="0.3"/>
    <row r="266" spans="1:26" ht="15.75" customHeight="1" x14ac:dyDescent="0.3"/>
    <row r="267" spans="1:26" ht="15.75" customHeight="1" x14ac:dyDescent="0.3"/>
    <row r="268" spans="1:26" ht="15.75" customHeight="1" x14ac:dyDescent="0.3"/>
    <row r="269" spans="1:26" ht="15.75" customHeight="1" x14ac:dyDescent="0.3"/>
    <row r="270" spans="1:26" ht="15.75" customHeight="1" x14ac:dyDescent="0.3"/>
    <row r="271" spans="1:26" ht="15.75" customHeight="1" x14ac:dyDescent="0.3"/>
    <row r="272" spans="1:26"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D59:F59"/>
    <mergeCell ref="D105:F105"/>
    <mergeCell ref="B4:D4"/>
    <mergeCell ref="B5:D5"/>
    <mergeCell ref="B6:D6"/>
    <mergeCell ref="B7:D7"/>
    <mergeCell ref="B8:D8"/>
    <mergeCell ref="E8:G8"/>
    <mergeCell ref="G21:G27"/>
  </mergeCells>
  <dataValidations count="1">
    <dataValidation type="list" allowBlank="1" showErrorMessage="1" sqref="D13" xr:uid="{00000000-0002-0000-0C00-000000000000}">
      <formula1>"High,Medium,Low"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FF"/>
    <outlinePr summaryBelow="0" summaryRight="0"/>
  </sheetPr>
  <dimension ref="A1:Z1016"/>
  <sheetViews>
    <sheetView workbookViewId="0"/>
  </sheetViews>
  <sheetFormatPr defaultColWidth="14.3984375" defaultRowHeight="15" customHeight="1" x14ac:dyDescent="0.3"/>
  <cols>
    <col min="1" max="1" width="12.69921875" customWidth="1"/>
    <col min="2" max="2" width="74.8984375" customWidth="1"/>
    <col min="3" max="3" width="7.09765625" customWidth="1"/>
    <col min="4" max="4" width="16.59765625" customWidth="1"/>
    <col min="5" max="5" width="15" customWidth="1"/>
    <col min="6" max="7" width="17.09765625" customWidth="1"/>
    <col min="8" max="10" width="14.0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254</v>
      </c>
      <c r="C2" s="47"/>
      <c r="D2" s="33" t="s">
        <v>183</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47"/>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255</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70" t="s">
        <v>310</v>
      </c>
      <c r="C6" s="536"/>
      <c r="D6" s="571"/>
      <c r="E6" s="32"/>
      <c r="F6" s="32"/>
      <c r="G6" s="32"/>
      <c r="H6" s="32"/>
      <c r="I6" s="32"/>
      <c r="J6" s="32"/>
      <c r="K6" s="32"/>
      <c r="L6" s="50"/>
      <c r="M6" s="50"/>
      <c r="N6" s="50"/>
      <c r="O6" s="50"/>
      <c r="P6" s="50"/>
      <c r="Q6" s="50"/>
      <c r="R6" s="50"/>
      <c r="S6" s="50"/>
      <c r="T6" s="50"/>
      <c r="U6" s="50"/>
      <c r="V6" s="50"/>
      <c r="W6" s="50"/>
      <c r="X6" s="50"/>
      <c r="Y6" s="50"/>
      <c r="Z6" s="50"/>
    </row>
    <row r="7" spans="1:26" ht="15.5" x14ac:dyDescent="0.35">
      <c r="A7" s="50"/>
      <c r="B7" s="569" t="s">
        <v>257</v>
      </c>
      <c r="C7" s="546"/>
      <c r="D7" s="558"/>
      <c r="E7" s="32"/>
      <c r="F7" s="32"/>
      <c r="G7" s="32"/>
      <c r="H7" s="32"/>
      <c r="I7" s="32"/>
      <c r="J7" s="32"/>
      <c r="K7" s="32"/>
      <c r="L7" s="50"/>
      <c r="M7" s="50"/>
      <c r="N7" s="50"/>
      <c r="O7" s="50"/>
      <c r="P7" s="50"/>
      <c r="Q7" s="50"/>
      <c r="R7" s="50"/>
      <c r="S7" s="50"/>
      <c r="T7" s="50"/>
      <c r="U7" s="50"/>
      <c r="V7" s="50"/>
      <c r="W7" s="50"/>
      <c r="X7" s="50"/>
      <c r="Y7" s="50"/>
      <c r="Z7" s="50"/>
    </row>
    <row r="8" spans="1:26" ht="71.25" customHeight="1" x14ac:dyDescent="0.35">
      <c r="A8" s="50"/>
      <c r="B8" s="584" t="s">
        <v>311</v>
      </c>
      <c r="C8" s="579"/>
      <c r="D8" s="580"/>
      <c r="E8" s="575"/>
      <c r="F8" s="546"/>
      <c r="G8" s="534"/>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5"/>
      <c r="J10" s="85"/>
      <c r="K10" s="86"/>
      <c r="L10" s="50"/>
      <c r="M10" s="50"/>
      <c r="N10" s="50"/>
      <c r="O10" s="50"/>
      <c r="P10" s="50"/>
      <c r="Q10" s="50"/>
      <c r="R10" s="50"/>
      <c r="S10" s="50"/>
      <c r="T10" s="50"/>
      <c r="U10" s="50"/>
      <c r="V10" s="50"/>
      <c r="W10" s="50"/>
      <c r="X10" s="50"/>
      <c r="Y10" s="50"/>
      <c r="Z10" s="50"/>
    </row>
    <row r="11" spans="1:26" ht="48" customHeight="1" x14ac:dyDescent="0.35">
      <c r="A11" s="50"/>
      <c r="B11" s="87" t="s">
        <v>312</v>
      </c>
      <c r="C11" s="222"/>
      <c r="D11" s="43" t="s">
        <v>89</v>
      </c>
      <c r="E11" s="43" t="s">
        <v>90</v>
      </c>
      <c r="F11" s="43" t="s">
        <v>91</v>
      </c>
      <c r="G11" s="563" t="s">
        <v>260</v>
      </c>
      <c r="H11" s="546"/>
      <c r="I11" s="546"/>
      <c r="J11" s="546"/>
      <c r="K11" s="558"/>
      <c r="L11" s="50"/>
      <c r="M11" s="50"/>
      <c r="N11" s="50"/>
      <c r="O11" s="50"/>
      <c r="P11" s="50"/>
      <c r="Q11" s="50"/>
      <c r="R11" s="50"/>
      <c r="S11" s="50"/>
      <c r="T11" s="50"/>
      <c r="U11" s="50"/>
      <c r="V11" s="50"/>
      <c r="W11" s="50"/>
      <c r="X11" s="50"/>
      <c r="Y11" s="50"/>
      <c r="Z11" s="50"/>
    </row>
    <row r="12" spans="1:26" ht="15" customHeight="1" x14ac:dyDescent="0.35">
      <c r="A12" s="50"/>
      <c r="B12" s="89" t="s">
        <v>145</v>
      </c>
      <c r="C12" s="88" t="s">
        <v>94</v>
      </c>
      <c r="D12" s="224">
        <v>100</v>
      </c>
      <c r="E12" s="224">
        <v>100</v>
      </c>
      <c r="F12" s="224">
        <v>100</v>
      </c>
      <c r="G12" s="91"/>
      <c r="H12" s="91"/>
      <c r="I12" s="91"/>
      <c r="J12" s="91"/>
      <c r="K12" s="92"/>
      <c r="L12" s="50"/>
      <c r="M12" s="50"/>
      <c r="N12" s="50"/>
      <c r="O12" s="50"/>
      <c r="P12" s="50"/>
      <c r="Q12" s="50"/>
      <c r="R12" s="50"/>
      <c r="S12" s="50"/>
      <c r="T12" s="50"/>
      <c r="U12" s="50"/>
      <c r="V12" s="50"/>
      <c r="W12" s="50"/>
      <c r="X12" s="50"/>
      <c r="Y12" s="50"/>
      <c r="Z12" s="50"/>
    </row>
    <row r="13" spans="1:26" ht="15" customHeight="1" x14ac:dyDescent="0.35">
      <c r="A13" s="50"/>
      <c r="B13" s="89" t="s">
        <v>146</v>
      </c>
      <c r="C13" s="88" t="s">
        <v>94</v>
      </c>
      <c r="D13" s="224">
        <v>100</v>
      </c>
      <c r="E13" s="224">
        <v>100</v>
      </c>
      <c r="F13" s="224">
        <v>100</v>
      </c>
      <c r="G13" s="91"/>
      <c r="H13" s="91"/>
      <c r="I13" s="91"/>
      <c r="J13" s="91"/>
      <c r="K13" s="92"/>
      <c r="L13" s="50"/>
      <c r="M13" s="50"/>
      <c r="N13" s="50"/>
      <c r="O13" s="50"/>
      <c r="P13" s="50"/>
      <c r="Q13" s="50"/>
      <c r="R13" s="50"/>
      <c r="S13" s="50"/>
      <c r="T13" s="50"/>
      <c r="U13" s="50"/>
      <c r="V13" s="50"/>
      <c r="W13" s="50"/>
      <c r="X13" s="50"/>
      <c r="Y13" s="50"/>
      <c r="Z13" s="50"/>
    </row>
    <row r="14" spans="1:26" ht="15" customHeight="1" x14ac:dyDescent="0.35">
      <c r="A14" s="50"/>
      <c r="B14" s="89" t="s">
        <v>147</v>
      </c>
      <c r="C14" s="88" t="s">
        <v>94</v>
      </c>
      <c r="D14" s="224">
        <v>100</v>
      </c>
      <c r="E14" s="224">
        <v>100</v>
      </c>
      <c r="F14" s="224">
        <v>100</v>
      </c>
      <c r="G14" s="91"/>
      <c r="H14" s="91"/>
      <c r="I14" s="91"/>
      <c r="J14" s="91"/>
      <c r="K14" s="92"/>
      <c r="L14" s="50"/>
      <c r="M14" s="50"/>
      <c r="N14" s="50"/>
      <c r="O14" s="50"/>
      <c r="P14" s="50"/>
      <c r="Q14" s="50"/>
      <c r="R14" s="50"/>
      <c r="S14" s="50"/>
      <c r="T14" s="50"/>
      <c r="U14" s="50"/>
      <c r="V14" s="50"/>
      <c r="W14" s="50"/>
      <c r="X14" s="50"/>
      <c r="Y14" s="50"/>
      <c r="Z14" s="50"/>
    </row>
    <row r="15" spans="1:26" ht="15" customHeight="1" x14ac:dyDescent="0.35">
      <c r="A15" s="50"/>
      <c r="B15" s="89" t="s">
        <v>148</v>
      </c>
      <c r="C15" s="88" t="s">
        <v>94</v>
      </c>
      <c r="D15" s="224">
        <v>100</v>
      </c>
      <c r="E15" s="224">
        <v>100</v>
      </c>
      <c r="F15" s="224">
        <v>100</v>
      </c>
      <c r="G15" s="91"/>
      <c r="H15" s="91"/>
      <c r="I15" s="91"/>
      <c r="J15" s="91"/>
      <c r="K15" s="92"/>
      <c r="L15" s="50"/>
      <c r="M15" s="50"/>
      <c r="N15" s="50"/>
      <c r="O15" s="50"/>
      <c r="P15" s="50"/>
      <c r="Q15" s="50"/>
      <c r="R15" s="50"/>
      <c r="S15" s="50"/>
      <c r="T15" s="50"/>
      <c r="U15" s="50"/>
      <c r="V15" s="50"/>
      <c r="W15" s="50"/>
      <c r="X15" s="50"/>
      <c r="Y15" s="50"/>
      <c r="Z15" s="50"/>
    </row>
    <row r="16" spans="1:26" ht="15" customHeight="1" x14ac:dyDescent="0.35">
      <c r="A16" s="50"/>
      <c r="B16" s="89" t="s">
        <v>149</v>
      </c>
      <c r="C16" s="88" t="s">
        <v>94</v>
      </c>
      <c r="D16" s="224">
        <v>100</v>
      </c>
      <c r="E16" s="224">
        <v>100</v>
      </c>
      <c r="F16" s="224">
        <v>100</v>
      </c>
      <c r="G16" s="91"/>
      <c r="H16" s="91"/>
      <c r="I16" s="91"/>
      <c r="J16" s="91"/>
      <c r="K16" s="92"/>
      <c r="L16" s="50"/>
      <c r="M16" s="50"/>
      <c r="N16" s="50"/>
      <c r="O16" s="50"/>
      <c r="P16" s="50"/>
      <c r="Q16" s="50"/>
      <c r="R16" s="50"/>
      <c r="S16" s="50"/>
      <c r="T16" s="50"/>
      <c r="U16" s="50"/>
      <c r="V16" s="50"/>
      <c r="W16" s="50"/>
      <c r="X16" s="50"/>
      <c r="Y16" s="50"/>
      <c r="Z16" s="50"/>
    </row>
    <row r="17" spans="1:26" ht="15" customHeight="1" x14ac:dyDescent="0.35">
      <c r="A17" s="50"/>
      <c r="B17" s="89" t="s">
        <v>198</v>
      </c>
      <c r="C17" s="88" t="s">
        <v>94</v>
      </c>
      <c r="D17" s="224">
        <v>100</v>
      </c>
      <c r="E17" s="224">
        <v>100</v>
      </c>
      <c r="F17" s="224">
        <v>100</v>
      </c>
      <c r="G17" s="91"/>
      <c r="H17" s="91"/>
      <c r="I17" s="91"/>
      <c r="J17" s="91"/>
      <c r="K17" s="92"/>
      <c r="L17" s="50"/>
      <c r="M17" s="50"/>
      <c r="N17" s="50"/>
      <c r="O17" s="50"/>
      <c r="P17" s="50"/>
      <c r="Q17" s="50"/>
      <c r="R17" s="50"/>
      <c r="S17" s="50"/>
      <c r="T17" s="50"/>
      <c r="U17" s="50"/>
      <c r="V17" s="50"/>
      <c r="W17" s="50"/>
      <c r="X17" s="50"/>
      <c r="Y17" s="50"/>
      <c r="Z17" s="50"/>
    </row>
    <row r="18" spans="1:26" ht="15" customHeight="1" x14ac:dyDescent="0.35">
      <c r="A18" s="50"/>
      <c r="B18" s="89" t="s">
        <v>199</v>
      </c>
      <c r="C18" s="88" t="s">
        <v>94</v>
      </c>
      <c r="D18" s="224">
        <v>100</v>
      </c>
      <c r="E18" s="224">
        <v>100</v>
      </c>
      <c r="F18" s="224">
        <v>100</v>
      </c>
      <c r="G18" s="91"/>
      <c r="H18" s="91"/>
      <c r="I18" s="91"/>
      <c r="J18" s="91"/>
      <c r="K18" s="92"/>
      <c r="L18" s="50"/>
      <c r="M18" s="50"/>
      <c r="N18" s="50"/>
      <c r="O18" s="50"/>
      <c r="P18" s="50"/>
      <c r="Q18" s="50"/>
      <c r="R18" s="50"/>
      <c r="S18" s="50"/>
      <c r="T18" s="50"/>
      <c r="U18" s="50"/>
      <c r="V18" s="50"/>
      <c r="W18" s="50"/>
      <c r="X18" s="50"/>
      <c r="Y18" s="50"/>
      <c r="Z18" s="50"/>
    </row>
    <row r="19" spans="1:26" ht="15" customHeight="1" x14ac:dyDescent="0.35">
      <c r="A19" s="50"/>
      <c r="B19" s="89" t="s">
        <v>152</v>
      </c>
      <c r="C19" s="88" t="s">
        <v>94</v>
      </c>
      <c r="D19" s="224">
        <v>100</v>
      </c>
      <c r="E19" s="224">
        <v>100</v>
      </c>
      <c r="F19" s="224">
        <v>100</v>
      </c>
      <c r="G19" s="91"/>
      <c r="H19" s="91"/>
      <c r="I19" s="91"/>
      <c r="J19" s="91"/>
      <c r="K19" s="92"/>
      <c r="L19" s="50"/>
      <c r="M19" s="50"/>
      <c r="N19" s="50"/>
      <c r="O19" s="50"/>
      <c r="P19" s="50"/>
      <c r="Q19" s="50"/>
      <c r="R19" s="50"/>
      <c r="S19" s="50"/>
      <c r="T19" s="50"/>
      <c r="U19" s="50"/>
      <c r="V19" s="50"/>
      <c r="W19" s="50"/>
      <c r="X19" s="50"/>
      <c r="Y19" s="50"/>
      <c r="Z19" s="50"/>
    </row>
    <row r="20" spans="1:26" ht="15" customHeight="1" x14ac:dyDescent="0.35">
      <c r="A20" s="50"/>
      <c r="B20" s="89" t="s">
        <v>153</v>
      </c>
      <c r="C20" s="88" t="s">
        <v>94</v>
      </c>
      <c r="D20" s="224">
        <v>100</v>
      </c>
      <c r="E20" s="224">
        <v>100</v>
      </c>
      <c r="F20" s="224">
        <v>100</v>
      </c>
      <c r="G20" s="91"/>
      <c r="H20" s="91"/>
      <c r="I20" s="91"/>
      <c r="J20" s="91"/>
      <c r="K20" s="92"/>
      <c r="L20" s="50"/>
      <c r="M20" s="50"/>
      <c r="N20" s="50"/>
      <c r="O20" s="50"/>
      <c r="P20" s="50"/>
      <c r="Q20" s="50"/>
      <c r="R20" s="50"/>
      <c r="S20" s="50"/>
      <c r="T20" s="50"/>
      <c r="U20" s="50"/>
      <c r="V20" s="50"/>
      <c r="W20" s="50"/>
      <c r="X20" s="50"/>
      <c r="Y20" s="50"/>
      <c r="Z20" s="50"/>
    </row>
    <row r="21" spans="1:26" ht="15" customHeight="1" x14ac:dyDescent="0.35">
      <c r="A21" s="50"/>
      <c r="B21" s="89" t="s">
        <v>154</v>
      </c>
      <c r="C21" s="88" t="s">
        <v>94</v>
      </c>
      <c r="D21" s="224">
        <v>100</v>
      </c>
      <c r="E21" s="224">
        <v>100</v>
      </c>
      <c r="F21" s="224">
        <v>100</v>
      </c>
      <c r="G21" s="91"/>
      <c r="H21" s="91"/>
      <c r="I21" s="91"/>
      <c r="J21" s="91"/>
      <c r="K21" s="92"/>
      <c r="L21" s="50"/>
      <c r="M21" s="50"/>
      <c r="N21" s="50"/>
      <c r="O21" s="50"/>
      <c r="P21" s="50"/>
      <c r="Q21" s="50"/>
      <c r="R21" s="50"/>
      <c r="S21" s="50"/>
      <c r="T21" s="50"/>
      <c r="U21" s="50"/>
      <c r="V21" s="50"/>
      <c r="W21" s="50"/>
      <c r="X21" s="50"/>
      <c r="Y21" s="50"/>
      <c r="Z21" s="50"/>
    </row>
    <row r="22" spans="1:26" ht="15" customHeight="1" x14ac:dyDescent="0.35">
      <c r="A22" s="50"/>
      <c r="B22" s="89" t="s">
        <v>155</v>
      </c>
      <c r="C22" s="88" t="s">
        <v>94</v>
      </c>
      <c r="D22" s="224">
        <v>100</v>
      </c>
      <c r="E22" s="224">
        <v>100</v>
      </c>
      <c r="F22" s="224">
        <v>100</v>
      </c>
      <c r="G22" s="91"/>
      <c r="H22" s="91"/>
      <c r="I22" s="91"/>
      <c r="J22" s="91"/>
      <c r="K22" s="92"/>
      <c r="L22" s="50"/>
      <c r="M22" s="50"/>
      <c r="N22" s="50"/>
      <c r="O22" s="50"/>
      <c r="P22" s="50"/>
      <c r="Q22" s="50"/>
      <c r="R22" s="50"/>
      <c r="S22" s="50"/>
      <c r="T22" s="50"/>
      <c r="U22" s="50"/>
      <c r="V22" s="50"/>
      <c r="W22" s="50"/>
      <c r="X22" s="50"/>
      <c r="Y22" s="50"/>
      <c r="Z22" s="50"/>
    </row>
    <row r="23" spans="1:26" ht="15" customHeight="1" x14ac:dyDescent="0.35">
      <c r="A23" s="50"/>
      <c r="B23" s="89" t="s">
        <v>156</v>
      </c>
      <c r="C23" s="88" t="s">
        <v>94</v>
      </c>
      <c r="D23" s="224">
        <v>100</v>
      </c>
      <c r="E23" s="224">
        <v>100</v>
      </c>
      <c r="F23" s="224">
        <v>100</v>
      </c>
      <c r="G23" s="91"/>
      <c r="H23" s="91"/>
      <c r="I23" s="91"/>
      <c r="J23" s="91"/>
      <c r="K23" s="92"/>
      <c r="L23" s="50"/>
      <c r="M23" s="50"/>
      <c r="N23" s="50"/>
      <c r="O23" s="50"/>
      <c r="P23" s="50"/>
      <c r="Q23" s="50"/>
      <c r="R23" s="50"/>
      <c r="S23" s="50"/>
      <c r="T23" s="50"/>
      <c r="U23" s="50"/>
      <c r="V23" s="50"/>
      <c r="W23" s="50"/>
      <c r="X23" s="50"/>
      <c r="Y23" s="50"/>
      <c r="Z23" s="50"/>
    </row>
    <row r="24" spans="1:26" ht="15" customHeight="1" x14ac:dyDescent="0.35">
      <c r="A24" s="50"/>
      <c r="B24" s="154" t="s">
        <v>157</v>
      </c>
      <c r="C24" s="88" t="s">
        <v>94</v>
      </c>
      <c r="D24" s="224">
        <v>100</v>
      </c>
      <c r="E24" s="224">
        <v>100</v>
      </c>
      <c r="F24" s="224">
        <v>100</v>
      </c>
      <c r="G24" s="91"/>
      <c r="H24" s="91"/>
      <c r="I24" s="91"/>
      <c r="J24" s="91"/>
      <c r="K24" s="92"/>
      <c r="L24" s="50"/>
      <c r="M24" s="50"/>
      <c r="N24" s="50"/>
      <c r="O24" s="50"/>
      <c r="P24" s="50"/>
      <c r="Q24" s="50"/>
      <c r="R24" s="50"/>
      <c r="S24" s="50"/>
      <c r="T24" s="50"/>
      <c r="U24" s="50"/>
      <c r="V24" s="50"/>
      <c r="W24" s="50"/>
      <c r="X24" s="50"/>
      <c r="Y24" s="50"/>
      <c r="Z24" s="50"/>
    </row>
    <row r="25" spans="1:26" ht="15" customHeight="1" x14ac:dyDescent="0.35">
      <c r="A25" s="50"/>
      <c r="B25" s="89" t="s">
        <v>158</v>
      </c>
      <c r="C25" s="88" t="s">
        <v>94</v>
      </c>
      <c r="D25" s="224">
        <v>100</v>
      </c>
      <c r="E25" s="224">
        <v>100</v>
      </c>
      <c r="F25" s="224">
        <v>100</v>
      </c>
      <c r="G25" s="91"/>
      <c r="H25" s="91"/>
      <c r="I25" s="91"/>
      <c r="J25" s="91"/>
      <c r="K25" s="92"/>
      <c r="L25" s="50"/>
      <c r="M25" s="50"/>
      <c r="N25" s="50"/>
      <c r="O25" s="50"/>
      <c r="P25" s="50"/>
      <c r="Q25" s="50"/>
      <c r="R25" s="50"/>
      <c r="S25" s="50"/>
      <c r="T25" s="50"/>
      <c r="U25" s="50"/>
      <c r="V25" s="50"/>
      <c r="W25" s="50"/>
      <c r="X25" s="50"/>
      <c r="Y25" s="50"/>
      <c r="Z25" s="50"/>
    </row>
    <row r="26" spans="1:26" ht="15" customHeight="1" x14ac:dyDescent="0.35">
      <c r="A26" s="50"/>
      <c r="B26" s="225" t="s">
        <v>65</v>
      </c>
      <c r="C26" s="273" t="s">
        <v>94</v>
      </c>
      <c r="D26" s="274">
        <f t="shared" ref="D26:F26" si="0">SUM(D12:D25)</f>
        <v>1400</v>
      </c>
      <c r="E26" s="274">
        <f t="shared" si="0"/>
        <v>1400</v>
      </c>
      <c r="F26" s="274">
        <f t="shared" si="0"/>
        <v>1400</v>
      </c>
      <c r="G26" s="91"/>
      <c r="H26" s="91"/>
      <c r="I26" s="91"/>
      <c r="J26" s="91"/>
      <c r="K26" s="92"/>
      <c r="L26" s="50"/>
      <c r="M26" s="50"/>
      <c r="N26" s="50"/>
      <c r="O26" s="50"/>
      <c r="P26" s="50"/>
      <c r="Q26" s="50"/>
      <c r="R26" s="50"/>
      <c r="S26" s="50"/>
      <c r="T26" s="50"/>
      <c r="U26" s="50"/>
      <c r="V26" s="50"/>
      <c r="W26" s="50"/>
      <c r="X26" s="50"/>
      <c r="Y26" s="50"/>
      <c r="Z26" s="50"/>
    </row>
    <row r="27" spans="1:26" ht="15.75" customHeight="1" x14ac:dyDescent="0.35">
      <c r="A27" s="50"/>
      <c r="B27" s="96" t="s">
        <v>261</v>
      </c>
      <c r="C27" s="88" t="s">
        <v>262</v>
      </c>
      <c r="D27" s="227">
        <v>1.1319999999999999</v>
      </c>
      <c r="E27" s="228" t="s">
        <v>263</v>
      </c>
      <c r="F27" s="91"/>
      <c r="G27" s="91"/>
      <c r="H27" s="91"/>
      <c r="I27" s="91"/>
      <c r="J27" s="91"/>
      <c r="K27" s="92"/>
      <c r="L27" s="50"/>
      <c r="M27" s="50"/>
      <c r="N27" s="50"/>
      <c r="O27" s="50"/>
      <c r="P27" s="50"/>
      <c r="Q27" s="50"/>
      <c r="R27" s="50"/>
      <c r="S27" s="50"/>
      <c r="T27" s="50"/>
      <c r="U27" s="50"/>
      <c r="V27" s="50"/>
      <c r="W27" s="50"/>
      <c r="X27" s="50"/>
      <c r="Y27" s="50"/>
      <c r="Z27" s="50"/>
    </row>
    <row r="28" spans="1:26" ht="15.75" customHeight="1" x14ac:dyDescent="0.35">
      <c r="A28" s="50"/>
      <c r="B28" s="96" t="s">
        <v>264</v>
      </c>
      <c r="C28" s="229" t="s">
        <v>202</v>
      </c>
      <c r="D28" s="178">
        <v>0.3</v>
      </c>
      <c r="E28" s="228" t="s">
        <v>265</v>
      </c>
      <c r="F28" s="91"/>
      <c r="G28" s="91"/>
      <c r="H28" s="91"/>
      <c r="I28" s="91"/>
      <c r="J28" s="91"/>
      <c r="K28" s="92"/>
      <c r="L28" s="50"/>
      <c r="M28" s="50"/>
      <c r="N28" s="50"/>
      <c r="O28" s="50"/>
      <c r="P28" s="50"/>
      <c r="Q28" s="50"/>
      <c r="R28" s="50"/>
      <c r="S28" s="50"/>
      <c r="T28" s="50"/>
      <c r="U28" s="50"/>
      <c r="V28" s="50"/>
      <c r="W28" s="50"/>
      <c r="X28" s="50"/>
      <c r="Y28" s="50"/>
      <c r="Z28" s="50"/>
    </row>
    <row r="29" spans="1:26" ht="15.75" customHeight="1" x14ac:dyDescent="0.35">
      <c r="A29" s="50"/>
      <c r="B29" s="96" t="s">
        <v>266</v>
      </c>
      <c r="C29" s="229" t="s">
        <v>202</v>
      </c>
      <c r="D29" s="178">
        <v>0.25</v>
      </c>
      <c r="E29" s="228" t="s">
        <v>267</v>
      </c>
      <c r="F29" s="91"/>
      <c r="G29" s="91"/>
      <c r="H29" s="91"/>
      <c r="I29" s="91"/>
      <c r="J29" s="91"/>
      <c r="K29" s="92"/>
      <c r="L29" s="50"/>
      <c r="M29" s="50"/>
      <c r="N29" s="50"/>
      <c r="O29" s="50"/>
      <c r="P29" s="50"/>
      <c r="Q29" s="50"/>
      <c r="R29" s="50"/>
      <c r="S29" s="50"/>
      <c r="T29" s="50"/>
      <c r="U29" s="50"/>
      <c r="V29" s="50"/>
      <c r="W29" s="50"/>
      <c r="X29" s="50"/>
      <c r="Y29" s="50"/>
      <c r="Z29" s="50"/>
    </row>
    <row r="30" spans="1:26" ht="15.75" customHeight="1" x14ac:dyDescent="0.35">
      <c r="A30" s="50"/>
      <c r="B30" s="96" t="s">
        <v>268</v>
      </c>
      <c r="C30" s="88"/>
      <c r="D30" s="98" t="s">
        <v>119</v>
      </c>
      <c r="E30" s="91" t="s">
        <v>269</v>
      </c>
      <c r="F30" s="91"/>
      <c r="G30" s="91"/>
      <c r="H30" s="91"/>
      <c r="I30" s="91"/>
      <c r="J30" s="91"/>
      <c r="K30" s="92"/>
      <c r="L30" s="50"/>
      <c r="M30" s="50"/>
      <c r="N30" s="50"/>
      <c r="O30" s="50"/>
      <c r="P30" s="50"/>
      <c r="Q30" s="50"/>
      <c r="R30" s="50"/>
      <c r="S30" s="50"/>
      <c r="T30" s="50"/>
      <c r="U30" s="50"/>
      <c r="V30" s="50"/>
      <c r="W30" s="50"/>
      <c r="X30" s="50"/>
      <c r="Y30" s="50"/>
      <c r="Z30" s="50"/>
    </row>
    <row r="31" spans="1:26" ht="15.75" customHeight="1" x14ac:dyDescent="0.35">
      <c r="A31" s="50"/>
      <c r="B31" s="96" t="s">
        <v>313</v>
      </c>
      <c r="C31" s="88"/>
      <c r="D31" s="230">
        <f>VLOOKUP(D30,B32:D34,3,TRUE)</f>
        <v>0.05</v>
      </c>
      <c r="E31" s="91" t="s">
        <v>117</v>
      </c>
      <c r="F31" s="91"/>
      <c r="G31" s="91"/>
      <c r="H31" s="91"/>
      <c r="I31" s="91"/>
      <c r="J31" s="91"/>
      <c r="K31" s="92"/>
      <c r="L31" s="50"/>
      <c r="M31" s="50"/>
      <c r="N31" s="50"/>
      <c r="O31" s="50"/>
      <c r="P31" s="50"/>
      <c r="Q31" s="50"/>
      <c r="R31" s="50"/>
      <c r="S31" s="50"/>
      <c r="T31" s="50"/>
      <c r="U31" s="50"/>
      <c r="V31" s="50"/>
      <c r="W31" s="50"/>
      <c r="X31" s="50"/>
      <c r="Y31" s="50"/>
      <c r="Z31" s="50"/>
    </row>
    <row r="32" spans="1:26" ht="15.75" customHeight="1" x14ac:dyDescent="0.35">
      <c r="A32" s="50"/>
      <c r="B32" s="101" t="s">
        <v>114</v>
      </c>
      <c r="C32" s="102"/>
      <c r="D32" s="275">
        <v>0.1</v>
      </c>
      <c r="E32" s="91" t="s">
        <v>271</v>
      </c>
      <c r="F32" s="91"/>
      <c r="G32" s="91"/>
      <c r="H32" s="91"/>
      <c r="I32" s="91"/>
      <c r="J32" s="91"/>
      <c r="K32" s="92"/>
      <c r="L32" s="50"/>
      <c r="M32" s="50"/>
      <c r="N32" s="50"/>
      <c r="O32" s="50"/>
      <c r="P32" s="50"/>
      <c r="Q32" s="50"/>
      <c r="R32" s="50"/>
      <c r="S32" s="50"/>
      <c r="T32" s="50"/>
      <c r="U32" s="50"/>
      <c r="V32" s="50"/>
      <c r="W32" s="50"/>
      <c r="X32" s="50"/>
      <c r="Y32" s="50"/>
      <c r="Z32" s="50"/>
    </row>
    <row r="33" spans="1:26" ht="15.75" customHeight="1" x14ac:dyDescent="0.35">
      <c r="A33" s="50"/>
      <c r="B33" s="101" t="s">
        <v>119</v>
      </c>
      <c r="C33" s="102"/>
      <c r="D33" s="275">
        <v>0.05</v>
      </c>
      <c r="E33" s="91" t="s">
        <v>271</v>
      </c>
      <c r="F33" s="91"/>
      <c r="G33" s="91"/>
      <c r="H33" s="91"/>
      <c r="I33" s="91"/>
      <c r="J33" s="91"/>
      <c r="K33" s="92"/>
      <c r="L33" s="50"/>
      <c r="M33" s="50"/>
      <c r="N33" s="50"/>
      <c r="O33" s="50"/>
      <c r="P33" s="50"/>
      <c r="Q33" s="50"/>
      <c r="R33" s="50"/>
      <c r="S33" s="50"/>
      <c r="T33" s="50"/>
      <c r="U33" s="50"/>
      <c r="V33" s="50"/>
      <c r="W33" s="50"/>
      <c r="X33" s="50"/>
      <c r="Y33" s="50"/>
      <c r="Z33" s="50"/>
    </row>
    <row r="34" spans="1:26" ht="15.75" customHeight="1" x14ac:dyDescent="0.35">
      <c r="A34" s="50"/>
      <c r="B34" s="101" t="s">
        <v>121</v>
      </c>
      <c r="C34" s="102"/>
      <c r="D34" s="275">
        <v>0.03</v>
      </c>
      <c r="E34" s="91" t="s">
        <v>271</v>
      </c>
      <c r="F34" s="91"/>
      <c r="G34" s="91"/>
      <c r="H34" s="91"/>
      <c r="I34" s="91"/>
      <c r="J34" s="91"/>
      <c r="K34" s="92"/>
      <c r="L34" s="50"/>
      <c r="M34" s="50"/>
      <c r="N34" s="50"/>
      <c r="O34" s="50"/>
      <c r="P34" s="50"/>
      <c r="Q34" s="50"/>
      <c r="R34" s="50"/>
      <c r="S34" s="50"/>
      <c r="T34" s="50"/>
      <c r="U34" s="50"/>
      <c r="V34" s="50"/>
      <c r="W34" s="50"/>
      <c r="X34" s="50"/>
      <c r="Y34" s="50"/>
      <c r="Z34" s="50"/>
    </row>
    <row r="35" spans="1:26" ht="15.75" customHeight="1" x14ac:dyDescent="0.35">
      <c r="A35" s="50"/>
      <c r="B35" s="233" t="s">
        <v>272</v>
      </c>
      <c r="C35" s="234"/>
      <c r="D35" s="235">
        <f>'1.Red. Purch. Cost Patient Care'!D68</f>
        <v>0.05</v>
      </c>
      <c r="E35" s="109" t="s">
        <v>314</v>
      </c>
      <c r="F35" s="109"/>
      <c r="G35" s="109"/>
      <c r="H35" s="109"/>
      <c r="I35" s="109"/>
      <c r="J35" s="109"/>
      <c r="K35" s="158"/>
      <c r="L35" s="50"/>
      <c r="M35" s="50"/>
      <c r="N35" s="50"/>
      <c r="O35" s="50"/>
      <c r="P35" s="50"/>
      <c r="Q35" s="50"/>
      <c r="R35" s="50"/>
      <c r="S35" s="50"/>
      <c r="T35" s="50"/>
      <c r="U35" s="50"/>
      <c r="V35" s="50"/>
      <c r="W35" s="50"/>
      <c r="X35" s="50"/>
      <c r="Y35" s="50"/>
      <c r="Z35" s="50"/>
    </row>
    <row r="36" spans="1:26" ht="15.75" customHeight="1" x14ac:dyDescent="0.35">
      <c r="A36" s="50"/>
      <c r="B36" s="50"/>
      <c r="C36" s="63"/>
      <c r="D36" s="50"/>
      <c r="E36" s="50"/>
      <c r="F36" s="50"/>
      <c r="G36" s="50"/>
      <c r="H36" s="50"/>
      <c r="I36" s="50"/>
      <c r="J36" s="50"/>
      <c r="K36" s="50"/>
      <c r="L36" s="50"/>
      <c r="M36" s="50"/>
      <c r="N36" s="50"/>
      <c r="O36" s="50"/>
      <c r="P36" s="50"/>
      <c r="Q36" s="50"/>
      <c r="R36" s="50"/>
      <c r="S36" s="50"/>
      <c r="T36" s="50"/>
      <c r="U36" s="50"/>
      <c r="V36" s="50"/>
      <c r="W36" s="50"/>
      <c r="X36" s="50"/>
      <c r="Y36" s="50"/>
      <c r="Z36" s="50"/>
    </row>
    <row r="37" spans="1:26" ht="15.75" customHeight="1" x14ac:dyDescent="0.35">
      <c r="A37" s="50"/>
      <c r="B37" s="35" t="s">
        <v>55</v>
      </c>
      <c r="C37" s="36"/>
      <c r="D37" s="565" t="s">
        <v>129</v>
      </c>
      <c r="E37" s="552"/>
      <c r="F37" s="553"/>
      <c r="G37" s="112" t="s">
        <v>130</v>
      </c>
      <c r="H37" s="38" t="e">
        <f t="shared" ref="H37:P37" si="1">+G37+1</f>
        <v>#VALUE!</v>
      </c>
      <c r="I37" s="38" t="e">
        <f t="shared" si="1"/>
        <v>#VALUE!</v>
      </c>
      <c r="J37" s="38" t="e">
        <f t="shared" si="1"/>
        <v>#VALUE!</v>
      </c>
      <c r="K37" s="38" t="e">
        <f t="shared" si="1"/>
        <v>#VALUE!</v>
      </c>
      <c r="L37" s="38" t="e">
        <f t="shared" si="1"/>
        <v>#VALUE!</v>
      </c>
      <c r="M37" s="38" t="e">
        <f t="shared" si="1"/>
        <v>#VALUE!</v>
      </c>
      <c r="N37" s="38" t="e">
        <f t="shared" si="1"/>
        <v>#VALUE!</v>
      </c>
      <c r="O37" s="38" t="e">
        <f t="shared" si="1"/>
        <v>#VALUE!</v>
      </c>
      <c r="P37" s="39" t="e">
        <f t="shared" si="1"/>
        <v>#VALUE!</v>
      </c>
      <c r="Q37" s="50"/>
      <c r="R37" s="50"/>
      <c r="S37" s="50"/>
      <c r="T37" s="50"/>
      <c r="U37" s="50"/>
      <c r="V37" s="50"/>
      <c r="W37" s="50"/>
      <c r="X37" s="50"/>
      <c r="Y37" s="50"/>
      <c r="Z37" s="50"/>
    </row>
    <row r="38" spans="1:26" ht="15.75" customHeight="1" x14ac:dyDescent="0.35">
      <c r="A38" s="50"/>
      <c r="B38" s="40"/>
      <c r="C38" s="41"/>
      <c r="D38" s="276">
        <v>1</v>
      </c>
      <c r="E38" s="43">
        <f>+D38+1</f>
        <v>2</v>
      </c>
      <c r="F38" s="43">
        <f t="shared" ref="F38:P38" si="2">E38+1</f>
        <v>3</v>
      </c>
      <c r="G38" s="43">
        <f t="shared" si="2"/>
        <v>4</v>
      </c>
      <c r="H38" s="43">
        <f t="shared" si="2"/>
        <v>5</v>
      </c>
      <c r="I38" s="43">
        <f t="shared" si="2"/>
        <v>6</v>
      </c>
      <c r="J38" s="43">
        <f t="shared" si="2"/>
        <v>7</v>
      </c>
      <c r="K38" s="43">
        <f t="shared" si="2"/>
        <v>8</v>
      </c>
      <c r="L38" s="43">
        <f t="shared" si="2"/>
        <v>9</v>
      </c>
      <c r="M38" s="43">
        <f t="shared" si="2"/>
        <v>10</v>
      </c>
      <c r="N38" s="43">
        <f t="shared" si="2"/>
        <v>11</v>
      </c>
      <c r="O38" s="43">
        <f t="shared" si="2"/>
        <v>12</v>
      </c>
      <c r="P38" s="114">
        <f t="shared" si="2"/>
        <v>13</v>
      </c>
      <c r="Q38" s="50"/>
      <c r="R38" s="50"/>
      <c r="S38" s="50"/>
      <c r="T38" s="50"/>
      <c r="U38" s="50"/>
      <c r="V38" s="50"/>
      <c r="W38" s="50"/>
      <c r="X38" s="50"/>
      <c r="Y38" s="50"/>
      <c r="Z38" s="50"/>
    </row>
    <row r="39" spans="1:26" ht="15.75" customHeight="1" x14ac:dyDescent="0.35">
      <c r="A39" s="50"/>
      <c r="B39" s="46" t="s">
        <v>274</v>
      </c>
      <c r="C39" s="47"/>
      <c r="D39" s="49"/>
      <c r="E39" s="49"/>
      <c r="F39" s="49"/>
      <c r="G39" s="49"/>
      <c r="H39" s="49"/>
      <c r="I39" s="49"/>
      <c r="J39" s="49"/>
      <c r="K39" s="49"/>
      <c r="L39" s="49"/>
      <c r="M39" s="49"/>
      <c r="N39" s="50"/>
      <c r="O39" s="50"/>
      <c r="P39" s="115"/>
      <c r="Q39" s="50"/>
      <c r="R39" s="50"/>
      <c r="S39" s="50"/>
      <c r="T39" s="50"/>
      <c r="U39" s="50"/>
      <c r="V39" s="50"/>
      <c r="W39" s="50"/>
      <c r="X39" s="50"/>
      <c r="Y39" s="50"/>
      <c r="Z39" s="50"/>
    </row>
    <row r="40" spans="1:26" ht="15.75" customHeight="1" x14ac:dyDescent="0.35">
      <c r="A40" s="50"/>
      <c r="B40" s="53" t="s">
        <v>145</v>
      </c>
      <c r="C40" s="54" t="s">
        <v>94</v>
      </c>
      <c r="D40" s="49">
        <f>'1.Red. Purch. Cost Surgical'!D88</f>
        <v>1000</v>
      </c>
      <c r="E40" s="49">
        <f>'1.Red. Purch. Cost Surgical'!E88</f>
        <v>1000</v>
      </c>
      <c r="F40" s="49">
        <f>'1.Red. Purch. Cost Surgical'!F88</f>
        <v>1000</v>
      </c>
      <c r="G40" s="49">
        <f>'1.Red. Purch. Cost Surgical'!G88</f>
        <v>1010</v>
      </c>
      <c r="H40" s="49">
        <f>'1.Red. Purch. Cost Surgical'!H88</f>
        <v>1020.1</v>
      </c>
      <c r="I40" s="49">
        <f>'1.Red. Purch. Cost Surgical'!I88</f>
        <v>1030.3009999999999</v>
      </c>
      <c r="J40" s="49">
        <f>'1.Red. Purch. Cost Surgical'!J88</f>
        <v>1040.60401</v>
      </c>
      <c r="K40" s="49">
        <f>'1.Red. Purch. Cost Surgical'!K88</f>
        <v>1051.0100500999999</v>
      </c>
      <c r="L40" s="49">
        <f>'1.Red. Purch. Cost Surgical'!L88</f>
        <v>1061.5201506009998</v>
      </c>
      <c r="M40" s="49">
        <f>'1.Red. Purch. Cost Surgical'!M88</f>
        <v>1072.1353521070098</v>
      </c>
      <c r="N40" s="49">
        <f>'1.Red. Purch. Cost Surgical'!N88</f>
        <v>1082.8567056280799</v>
      </c>
      <c r="O40" s="49">
        <f>'1.Red. Purch. Cost Surgical'!O88</f>
        <v>1093.6852726843608</v>
      </c>
      <c r="P40" s="117">
        <f>'1.Red. Purch. Cost Surgical'!P88</f>
        <v>1104.6221254112045</v>
      </c>
      <c r="Q40" s="50"/>
      <c r="R40" s="50"/>
      <c r="S40" s="50"/>
      <c r="T40" s="50"/>
      <c r="U40" s="50"/>
      <c r="V40" s="50"/>
      <c r="W40" s="50"/>
      <c r="X40" s="50"/>
      <c r="Y40" s="50"/>
      <c r="Z40" s="50"/>
    </row>
    <row r="41" spans="1:26" ht="15.75" customHeight="1" x14ac:dyDescent="0.35">
      <c r="A41" s="50"/>
      <c r="B41" s="53" t="s">
        <v>146</v>
      </c>
      <c r="C41" s="54" t="s">
        <v>94</v>
      </c>
      <c r="D41" s="49">
        <f>'1.Red. Purch. Cost Surgical'!D89</f>
        <v>1000</v>
      </c>
      <c r="E41" s="49">
        <f>'1.Red. Purch. Cost Surgical'!E89</f>
        <v>1000</v>
      </c>
      <c r="F41" s="49">
        <f>'1.Red. Purch. Cost Surgical'!F89</f>
        <v>1000</v>
      </c>
      <c r="G41" s="49">
        <f>'1.Red. Purch. Cost Surgical'!G89</f>
        <v>1010</v>
      </c>
      <c r="H41" s="49">
        <f>'1.Red. Purch. Cost Surgical'!H89</f>
        <v>1020.1</v>
      </c>
      <c r="I41" s="49">
        <f>'1.Red. Purch. Cost Surgical'!I89</f>
        <v>1030.3009999999999</v>
      </c>
      <c r="J41" s="49">
        <f>'1.Red. Purch. Cost Surgical'!J89</f>
        <v>1040.60401</v>
      </c>
      <c r="K41" s="49">
        <f>'1.Red. Purch. Cost Surgical'!K89</f>
        <v>1051.0100500999999</v>
      </c>
      <c r="L41" s="49">
        <f>'1.Red. Purch. Cost Surgical'!L89</f>
        <v>1061.5201506009998</v>
      </c>
      <c r="M41" s="49">
        <f>'1.Red. Purch. Cost Surgical'!M89</f>
        <v>1072.1353521070098</v>
      </c>
      <c r="N41" s="49">
        <f>'1.Red. Purch. Cost Surgical'!N89</f>
        <v>1082.8567056280799</v>
      </c>
      <c r="O41" s="49">
        <f>'1.Red. Purch. Cost Surgical'!O89</f>
        <v>1093.6852726843608</v>
      </c>
      <c r="P41" s="117">
        <f>'1.Red. Purch. Cost Surgical'!P89</f>
        <v>1104.6221254112045</v>
      </c>
      <c r="Q41" s="50"/>
      <c r="R41" s="50"/>
      <c r="S41" s="50"/>
      <c r="T41" s="50"/>
      <c r="U41" s="50"/>
      <c r="V41" s="50"/>
      <c r="W41" s="50"/>
      <c r="X41" s="50"/>
      <c r="Y41" s="50"/>
      <c r="Z41" s="50"/>
    </row>
    <row r="42" spans="1:26" ht="15.75" customHeight="1" x14ac:dyDescent="0.35">
      <c r="A42" s="50"/>
      <c r="B42" s="53" t="s">
        <v>147</v>
      </c>
      <c r="C42" s="54" t="s">
        <v>94</v>
      </c>
      <c r="D42" s="49">
        <f>'1.Red. Purch. Cost Surgical'!D90</f>
        <v>1000</v>
      </c>
      <c r="E42" s="49">
        <f>'1.Red. Purch. Cost Surgical'!E90</f>
        <v>1000</v>
      </c>
      <c r="F42" s="49">
        <f>'1.Red. Purch. Cost Surgical'!F90</f>
        <v>1000</v>
      </c>
      <c r="G42" s="49">
        <f>'1.Red. Purch. Cost Surgical'!G90</f>
        <v>1010</v>
      </c>
      <c r="H42" s="49">
        <f>'1.Red. Purch. Cost Surgical'!H90</f>
        <v>1020.1</v>
      </c>
      <c r="I42" s="49">
        <f>'1.Red. Purch. Cost Surgical'!I90</f>
        <v>1030.3009999999999</v>
      </c>
      <c r="J42" s="49">
        <f>'1.Red. Purch. Cost Surgical'!J90</f>
        <v>1040.60401</v>
      </c>
      <c r="K42" s="49">
        <f>'1.Red. Purch. Cost Surgical'!K90</f>
        <v>1051.0100500999999</v>
      </c>
      <c r="L42" s="49">
        <f>'1.Red. Purch. Cost Surgical'!L90</f>
        <v>1061.5201506009998</v>
      </c>
      <c r="M42" s="49">
        <f>'1.Red. Purch. Cost Surgical'!M90</f>
        <v>1072.1353521070098</v>
      </c>
      <c r="N42" s="49">
        <f>'1.Red. Purch. Cost Surgical'!N90</f>
        <v>1082.8567056280799</v>
      </c>
      <c r="O42" s="49">
        <f>'1.Red. Purch. Cost Surgical'!O90</f>
        <v>1093.6852726843608</v>
      </c>
      <c r="P42" s="117">
        <f>'1.Red. Purch. Cost Surgical'!P90</f>
        <v>1104.6221254112045</v>
      </c>
      <c r="Q42" s="50"/>
      <c r="R42" s="50"/>
      <c r="S42" s="50"/>
      <c r="T42" s="50"/>
      <c r="U42" s="50"/>
      <c r="V42" s="50"/>
      <c r="W42" s="50"/>
      <c r="X42" s="50"/>
      <c r="Y42" s="50"/>
      <c r="Z42" s="50"/>
    </row>
    <row r="43" spans="1:26" ht="15.75" customHeight="1" x14ac:dyDescent="0.35">
      <c r="A43" s="50"/>
      <c r="B43" s="53" t="s">
        <v>148</v>
      </c>
      <c r="C43" s="54" t="s">
        <v>94</v>
      </c>
      <c r="D43" s="49">
        <f>'1.Red. Purch. Cost Surgical'!D91</f>
        <v>1000</v>
      </c>
      <c r="E43" s="49">
        <f>'1.Red. Purch. Cost Surgical'!E91</f>
        <v>1000</v>
      </c>
      <c r="F43" s="49">
        <f>'1.Red. Purch. Cost Surgical'!F91</f>
        <v>1000</v>
      </c>
      <c r="G43" s="49">
        <f>'1.Red. Purch. Cost Surgical'!G91</f>
        <v>1010</v>
      </c>
      <c r="H43" s="49">
        <f>'1.Red. Purch. Cost Surgical'!H91</f>
        <v>1020.1</v>
      </c>
      <c r="I43" s="49">
        <f>'1.Red. Purch. Cost Surgical'!I91</f>
        <v>1030.3009999999999</v>
      </c>
      <c r="J43" s="49">
        <f>'1.Red. Purch. Cost Surgical'!J91</f>
        <v>1040.60401</v>
      </c>
      <c r="K43" s="49">
        <f>'1.Red. Purch. Cost Surgical'!K91</f>
        <v>1051.0100500999999</v>
      </c>
      <c r="L43" s="49">
        <f>'1.Red. Purch. Cost Surgical'!L91</f>
        <v>1061.5201506009998</v>
      </c>
      <c r="M43" s="49">
        <f>'1.Red. Purch. Cost Surgical'!M91</f>
        <v>1072.1353521070098</v>
      </c>
      <c r="N43" s="49">
        <f>'1.Red. Purch. Cost Surgical'!N91</f>
        <v>1082.8567056280799</v>
      </c>
      <c r="O43" s="49">
        <f>'1.Red. Purch. Cost Surgical'!O91</f>
        <v>1093.6852726843608</v>
      </c>
      <c r="P43" s="117">
        <f>'1.Red. Purch. Cost Surgical'!P91</f>
        <v>1104.6221254112045</v>
      </c>
      <c r="Q43" s="50"/>
      <c r="R43" s="50"/>
      <c r="S43" s="50"/>
      <c r="T43" s="50"/>
      <c r="U43" s="50"/>
      <c r="V43" s="50"/>
      <c r="W43" s="50"/>
      <c r="X43" s="50"/>
      <c r="Y43" s="50"/>
      <c r="Z43" s="50"/>
    </row>
    <row r="44" spans="1:26" ht="15.75" customHeight="1" x14ac:dyDescent="0.35">
      <c r="A44" s="50"/>
      <c r="B44" s="53" t="s">
        <v>149</v>
      </c>
      <c r="C44" s="54" t="s">
        <v>94</v>
      </c>
      <c r="D44" s="49">
        <f>'1.Red. Purch. Cost Surgical'!D92</f>
        <v>1000</v>
      </c>
      <c r="E44" s="49">
        <f>'1.Red. Purch. Cost Surgical'!E92</f>
        <v>1000</v>
      </c>
      <c r="F44" s="49">
        <f>'1.Red. Purch. Cost Surgical'!F92</f>
        <v>1000</v>
      </c>
      <c r="G44" s="49">
        <f>'1.Red. Purch. Cost Surgical'!G92</f>
        <v>1010</v>
      </c>
      <c r="H44" s="49">
        <f>'1.Red. Purch. Cost Surgical'!H92</f>
        <v>1020.1</v>
      </c>
      <c r="I44" s="49">
        <f>'1.Red. Purch. Cost Surgical'!I92</f>
        <v>1030.3009999999999</v>
      </c>
      <c r="J44" s="49">
        <f>'1.Red. Purch. Cost Surgical'!J92</f>
        <v>1040.60401</v>
      </c>
      <c r="K44" s="49">
        <f>'1.Red. Purch. Cost Surgical'!K92</f>
        <v>1051.0100500999999</v>
      </c>
      <c r="L44" s="49">
        <f>'1.Red. Purch. Cost Surgical'!L92</f>
        <v>1061.5201506009998</v>
      </c>
      <c r="M44" s="49">
        <f>'1.Red. Purch. Cost Surgical'!M92</f>
        <v>1072.1353521070098</v>
      </c>
      <c r="N44" s="49">
        <f>'1.Red. Purch. Cost Surgical'!N92</f>
        <v>1082.8567056280799</v>
      </c>
      <c r="O44" s="49">
        <f>'1.Red. Purch. Cost Surgical'!O92</f>
        <v>1093.6852726843608</v>
      </c>
      <c r="P44" s="117">
        <f>'1.Red. Purch. Cost Surgical'!P92</f>
        <v>1104.6221254112045</v>
      </c>
      <c r="Q44" s="50"/>
      <c r="R44" s="50"/>
      <c r="S44" s="50"/>
      <c r="T44" s="50"/>
      <c r="U44" s="50"/>
      <c r="V44" s="50"/>
      <c r="W44" s="50"/>
      <c r="X44" s="50"/>
      <c r="Y44" s="50"/>
      <c r="Z44" s="50"/>
    </row>
    <row r="45" spans="1:26" ht="15.75" customHeight="1" x14ac:dyDescent="0.35">
      <c r="A45" s="50"/>
      <c r="B45" s="53" t="s">
        <v>198</v>
      </c>
      <c r="C45" s="54" t="s">
        <v>94</v>
      </c>
      <c r="D45" s="49">
        <f>'1.Red. Purch. Cost Surgical'!D93</f>
        <v>1000</v>
      </c>
      <c r="E45" s="49">
        <f>'1.Red. Purch. Cost Surgical'!E93</f>
        <v>1000</v>
      </c>
      <c r="F45" s="49">
        <f>'1.Red. Purch. Cost Surgical'!F93</f>
        <v>1000</v>
      </c>
      <c r="G45" s="49">
        <f>'1.Red. Purch. Cost Surgical'!G93</f>
        <v>1010</v>
      </c>
      <c r="H45" s="49">
        <f>'1.Red. Purch. Cost Surgical'!H93</f>
        <v>1020.1</v>
      </c>
      <c r="I45" s="49">
        <f>'1.Red. Purch. Cost Surgical'!I93</f>
        <v>1030.3009999999999</v>
      </c>
      <c r="J45" s="49">
        <f>'1.Red. Purch. Cost Surgical'!J93</f>
        <v>1040.60401</v>
      </c>
      <c r="K45" s="49">
        <f>'1.Red. Purch. Cost Surgical'!K93</f>
        <v>1051.0100500999999</v>
      </c>
      <c r="L45" s="49">
        <f>'1.Red. Purch. Cost Surgical'!L93</f>
        <v>1061.5201506009998</v>
      </c>
      <c r="M45" s="49">
        <f>'1.Red. Purch. Cost Surgical'!M93</f>
        <v>1072.1353521070098</v>
      </c>
      <c r="N45" s="49">
        <f>'1.Red. Purch. Cost Surgical'!N93</f>
        <v>1082.8567056280799</v>
      </c>
      <c r="O45" s="49">
        <f>'1.Red. Purch. Cost Surgical'!O93</f>
        <v>1093.6852726843608</v>
      </c>
      <c r="P45" s="117">
        <f>'1.Red. Purch. Cost Surgical'!P93</f>
        <v>1104.6221254112045</v>
      </c>
      <c r="Q45" s="50"/>
      <c r="R45" s="50"/>
      <c r="S45" s="50"/>
      <c r="T45" s="50"/>
      <c r="U45" s="50"/>
      <c r="V45" s="50"/>
      <c r="W45" s="50"/>
      <c r="X45" s="50"/>
      <c r="Y45" s="50"/>
      <c r="Z45" s="50"/>
    </row>
    <row r="46" spans="1:26" ht="15.75" customHeight="1" x14ac:dyDescent="0.35">
      <c r="A46" s="50"/>
      <c r="B46" s="53" t="s">
        <v>199</v>
      </c>
      <c r="C46" s="54" t="s">
        <v>94</v>
      </c>
      <c r="D46" s="49">
        <f>'1.Red. Purch. Cost Surgical'!D94</f>
        <v>1000</v>
      </c>
      <c r="E46" s="49">
        <f>'1.Red. Purch. Cost Surgical'!E94</f>
        <v>1000</v>
      </c>
      <c r="F46" s="49">
        <f>'1.Red. Purch. Cost Surgical'!F94</f>
        <v>1000</v>
      </c>
      <c r="G46" s="49">
        <f>'1.Red. Purch. Cost Surgical'!G94</f>
        <v>1010</v>
      </c>
      <c r="H46" s="49">
        <f>'1.Red. Purch. Cost Surgical'!H94</f>
        <v>1020.1</v>
      </c>
      <c r="I46" s="49">
        <f>'1.Red. Purch. Cost Surgical'!I94</f>
        <v>1030.3009999999999</v>
      </c>
      <c r="J46" s="49">
        <f>'1.Red. Purch. Cost Surgical'!J94</f>
        <v>1040.60401</v>
      </c>
      <c r="K46" s="49">
        <f>'1.Red. Purch. Cost Surgical'!K94</f>
        <v>1051.0100500999999</v>
      </c>
      <c r="L46" s="49">
        <f>'1.Red. Purch. Cost Surgical'!L94</f>
        <v>1061.5201506009998</v>
      </c>
      <c r="M46" s="49">
        <f>'1.Red. Purch. Cost Surgical'!M94</f>
        <v>1072.1353521070098</v>
      </c>
      <c r="N46" s="49">
        <f>'1.Red. Purch. Cost Surgical'!N94</f>
        <v>1082.8567056280799</v>
      </c>
      <c r="O46" s="49">
        <f>'1.Red. Purch. Cost Surgical'!O94</f>
        <v>1093.6852726843608</v>
      </c>
      <c r="P46" s="117">
        <f>'1.Red. Purch. Cost Surgical'!P94</f>
        <v>1104.6221254112045</v>
      </c>
      <c r="Q46" s="50"/>
      <c r="R46" s="50"/>
      <c r="S46" s="50"/>
      <c r="T46" s="50"/>
      <c r="U46" s="50"/>
      <c r="V46" s="50"/>
      <c r="W46" s="50"/>
      <c r="X46" s="50"/>
      <c r="Y46" s="50"/>
      <c r="Z46" s="50"/>
    </row>
    <row r="47" spans="1:26" ht="15.75" customHeight="1" x14ac:dyDescent="0.35">
      <c r="A47" s="50"/>
      <c r="B47" s="53" t="s">
        <v>152</v>
      </c>
      <c r="C47" s="54" t="s">
        <v>94</v>
      </c>
      <c r="D47" s="49">
        <f>'1.Red. Purch. Cost Surgical'!D95</f>
        <v>1000</v>
      </c>
      <c r="E47" s="49">
        <f>'1.Red. Purch. Cost Surgical'!E95</f>
        <v>1000</v>
      </c>
      <c r="F47" s="49">
        <f>'1.Red. Purch. Cost Surgical'!F95</f>
        <v>1000</v>
      </c>
      <c r="G47" s="49">
        <f>'1.Red. Purch. Cost Surgical'!G95</f>
        <v>1010</v>
      </c>
      <c r="H47" s="49">
        <f>'1.Red. Purch. Cost Surgical'!H95</f>
        <v>1020.1</v>
      </c>
      <c r="I47" s="49">
        <f>'1.Red. Purch. Cost Surgical'!I95</f>
        <v>1030.3009999999999</v>
      </c>
      <c r="J47" s="49">
        <f>'1.Red. Purch. Cost Surgical'!J95</f>
        <v>1040.60401</v>
      </c>
      <c r="K47" s="49">
        <f>'1.Red. Purch. Cost Surgical'!K95</f>
        <v>1051.0100500999999</v>
      </c>
      <c r="L47" s="49">
        <f>'1.Red. Purch. Cost Surgical'!L95</f>
        <v>1061.5201506009998</v>
      </c>
      <c r="M47" s="49">
        <f>'1.Red. Purch. Cost Surgical'!M95</f>
        <v>1072.1353521070098</v>
      </c>
      <c r="N47" s="49">
        <f>'1.Red. Purch. Cost Surgical'!N95</f>
        <v>1082.8567056280799</v>
      </c>
      <c r="O47" s="49">
        <f>'1.Red. Purch. Cost Surgical'!O95</f>
        <v>1093.6852726843608</v>
      </c>
      <c r="P47" s="117">
        <f>'1.Red. Purch. Cost Surgical'!P95</f>
        <v>1104.6221254112045</v>
      </c>
      <c r="Q47" s="50"/>
      <c r="R47" s="50"/>
      <c r="S47" s="50"/>
      <c r="T47" s="50"/>
      <c r="U47" s="50"/>
      <c r="V47" s="50"/>
      <c r="W47" s="50"/>
      <c r="X47" s="50"/>
      <c r="Y47" s="50"/>
      <c r="Z47" s="50"/>
    </row>
    <row r="48" spans="1:26" ht="15.75" customHeight="1" x14ac:dyDescent="0.35">
      <c r="A48" s="50"/>
      <c r="B48" s="53" t="s">
        <v>153</v>
      </c>
      <c r="C48" s="54" t="s">
        <v>94</v>
      </c>
      <c r="D48" s="49">
        <f>'1.Red. Purch. Cost Surgical'!D96</f>
        <v>1000</v>
      </c>
      <c r="E48" s="49">
        <f>'1.Red. Purch. Cost Surgical'!E96</f>
        <v>1000</v>
      </c>
      <c r="F48" s="49">
        <f>'1.Red. Purch. Cost Surgical'!F96</f>
        <v>1000</v>
      </c>
      <c r="G48" s="49">
        <f>'1.Red. Purch. Cost Surgical'!G96</f>
        <v>1010</v>
      </c>
      <c r="H48" s="49">
        <f>'1.Red. Purch. Cost Surgical'!H96</f>
        <v>1020.1</v>
      </c>
      <c r="I48" s="49">
        <f>'1.Red. Purch. Cost Surgical'!I96</f>
        <v>1030.3009999999999</v>
      </c>
      <c r="J48" s="49">
        <f>'1.Red. Purch. Cost Surgical'!J96</f>
        <v>1040.60401</v>
      </c>
      <c r="K48" s="49">
        <f>'1.Red. Purch. Cost Surgical'!K96</f>
        <v>1051.0100500999999</v>
      </c>
      <c r="L48" s="49">
        <f>'1.Red. Purch. Cost Surgical'!L96</f>
        <v>1061.5201506009998</v>
      </c>
      <c r="M48" s="49">
        <f>'1.Red. Purch. Cost Surgical'!M96</f>
        <v>1072.1353521070098</v>
      </c>
      <c r="N48" s="49">
        <f>'1.Red. Purch. Cost Surgical'!N96</f>
        <v>1082.8567056280799</v>
      </c>
      <c r="O48" s="49">
        <f>'1.Red. Purch. Cost Surgical'!O96</f>
        <v>1093.6852726843608</v>
      </c>
      <c r="P48" s="117">
        <f>'1.Red. Purch. Cost Surgical'!P96</f>
        <v>1104.6221254112045</v>
      </c>
      <c r="Q48" s="50"/>
      <c r="R48" s="50"/>
      <c r="S48" s="50"/>
      <c r="T48" s="50"/>
      <c r="U48" s="50"/>
      <c r="V48" s="50"/>
      <c r="W48" s="50"/>
      <c r="X48" s="50"/>
      <c r="Y48" s="50"/>
      <c r="Z48" s="50"/>
    </row>
    <row r="49" spans="1:26" ht="15.75" customHeight="1" x14ac:dyDescent="0.35">
      <c r="A49" s="50"/>
      <c r="B49" s="53" t="s">
        <v>154</v>
      </c>
      <c r="C49" s="54" t="s">
        <v>94</v>
      </c>
      <c r="D49" s="49">
        <f>'1.Red. Purch. Cost Surgical'!D97</f>
        <v>1000</v>
      </c>
      <c r="E49" s="49">
        <f>'1.Red. Purch. Cost Surgical'!E97</f>
        <v>1000</v>
      </c>
      <c r="F49" s="49">
        <f>'1.Red. Purch. Cost Surgical'!F97</f>
        <v>1000</v>
      </c>
      <c r="G49" s="49">
        <f>'1.Red. Purch. Cost Surgical'!G97</f>
        <v>1010</v>
      </c>
      <c r="H49" s="49">
        <f>'1.Red. Purch. Cost Surgical'!H97</f>
        <v>1020.1</v>
      </c>
      <c r="I49" s="49">
        <f>'1.Red. Purch. Cost Surgical'!I97</f>
        <v>1030.3009999999999</v>
      </c>
      <c r="J49" s="49">
        <f>'1.Red. Purch. Cost Surgical'!J97</f>
        <v>1040.60401</v>
      </c>
      <c r="K49" s="49">
        <f>'1.Red. Purch. Cost Surgical'!K97</f>
        <v>1051.0100500999999</v>
      </c>
      <c r="L49" s="49">
        <f>'1.Red. Purch. Cost Surgical'!L97</f>
        <v>1061.5201506009998</v>
      </c>
      <c r="M49" s="49">
        <f>'1.Red. Purch. Cost Surgical'!M97</f>
        <v>1072.1353521070098</v>
      </c>
      <c r="N49" s="49">
        <f>'1.Red. Purch. Cost Surgical'!N97</f>
        <v>1082.8567056280799</v>
      </c>
      <c r="O49" s="49">
        <f>'1.Red. Purch. Cost Surgical'!O97</f>
        <v>1093.6852726843608</v>
      </c>
      <c r="P49" s="117">
        <f>'1.Red. Purch. Cost Surgical'!P97</f>
        <v>1104.6221254112045</v>
      </c>
      <c r="Q49" s="50"/>
      <c r="R49" s="50"/>
      <c r="S49" s="50"/>
      <c r="T49" s="50"/>
      <c r="U49" s="50"/>
      <c r="V49" s="50"/>
      <c r="W49" s="50"/>
      <c r="X49" s="50"/>
      <c r="Y49" s="50"/>
      <c r="Z49" s="50"/>
    </row>
    <row r="50" spans="1:26" ht="15.75" customHeight="1" x14ac:dyDescent="0.35">
      <c r="A50" s="50"/>
      <c r="B50" s="53" t="s">
        <v>155</v>
      </c>
      <c r="C50" s="54" t="s">
        <v>94</v>
      </c>
      <c r="D50" s="49">
        <f>'1.Red. Purch. Cost Surgical'!D98</f>
        <v>1000</v>
      </c>
      <c r="E50" s="49">
        <f>'1.Red. Purch. Cost Surgical'!E98</f>
        <v>1000</v>
      </c>
      <c r="F50" s="49">
        <f>'1.Red. Purch. Cost Surgical'!F98</f>
        <v>1000</v>
      </c>
      <c r="G50" s="49">
        <f>'1.Red. Purch. Cost Surgical'!G98</f>
        <v>1010</v>
      </c>
      <c r="H50" s="49">
        <f>'1.Red. Purch. Cost Surgical'!H98</f>
        <v>1020.1</v>
      </c>
      <c r="I50" s="49">
        <f>'1.Red. Purch. Cost Surgical'!I98</f>
        <v>1030.3009999999999</v>
      </c>
      <c r="J50" s="49">
        <f>'1.Red. Purch. Cost Surgical'!J98</f>
        <v>1040.60401</v>
      </c>
      <c r="K50" s="49">
        <f>'1.Red. Purch. Cost Surgical'!K98</f>
        <v>1051.0100500999999</v>
      </c>
      <c r="L50" s="49">
        <f>'1.Red. Purch. Cost Surgical'!L98</f>
        <v>1061.5201506009998</v>
      </c>
      <c r="M50" s="49">
        <f>'1.Red. Purch. Cost Surgical'!M98</f>
        <v>1072.1353521070098</v>
      </c>
      <c r="N50" s="49">
        <f>'1.Red. Purch. Cost Surgical'!N98</f>
        <v>1082.8567056280799</v>
      </c>
      <c r="O50" s="49">
        <f>'1.Red. Purch. Cost Surgical'!O98</f>
        <v>1093.6852726843608</v>
      </c>
      <c r="P50" s="117">
        <f>'1.Red. Purch. Cost Surgical'!P98</f>
        <v>1104.6221254112045</v>
      </c>
      <c r="Q50" s="50"/>
      <c r="R50" s="50"/>
      <c r="S50" s="50"/>
      <c r="T50" s="50"/>
      <c r="U50" s="50"/>
      <c r="V50" s="50"/>
      <c r="W50" s="50"/>
      <c r="X50" s="50"/>
      <c r="Y50" s="50"/>
      <c r="Z50" s="50"/>
    </row>
    <row r="51" spans="1:26" ht="15.75" customHeight="1" x14ac:dyDescent="0.35">
      <c r="A51" s="50"/>
      <c r="B51" s="53" t="s">
        <v>156</v>
      </c>
      <c r="C51" s="54" t="s">
        <v>94</v>
      </c>
      <c r="D51" s="49">
        <f>'1.Red. Purch. Cost Surgical'!D99</f>
        <v>1000</v>
      </c>
      <c r="E51" s="49">
        <f>'1.Red. Purch. Cost Surgical'!E99</f>
        <v>1000</v>
      </c>
      <c r="F51" s="49">
        <f>'1.Red. Purch. Cost Surgical'!F99</f>
        <v>1000</v>
      </c>
      <c r="G51" s="49">
        <f>'1.Red. Purch. Cost Surgical'!G99</f>
        <v>1010</v>
      </c>
      <c r="H51" s="49">
        <f>'1.Red. Purch. Cost Surgical'!H99</f>
        <v>1020.1</v>
      </c>
      <c r="I51" s="49">
        <f>'1.Red. Purch. Cost Surgical'!I99</f>
        <v>1030.3009999999999</v>
      </c>
      <c r="J51" s="49">
        <f>'1.Red. Purch. Cost Surgical'!J99</f>
        <v>1040.60401</v>
      </c>
      <c r="K51" s="49">
        <f>'1.Red. Purch. Cost Surgical'!K99</f>
        <v>1051.0100500999999</v>
      </c>
      <c r="L51" s="49">
        <f>'1.Red. Purch. Cost Surgical'!L99</f>
        <v>1061.5201506009998</v>
      </c>
      <c r="M51" s="49">
        <f>'1.Red. Purch. Cost Surgical'!M99</f>
        <v>1072.1353521070098</v>
      </c>
      <c r="N51" s="49">
        <f>'1.Red. Purch. Cost Surgical'!N99</f>
        <v>1082.8567056280799</v>
      </c>
      <c r="O51" s="49">
        <f>'1.Red. Purch. Cost Surgical'!O99</f>
        <v>1093.6852726843608</v>
      </c>
      <c r="P51" s="117">
        <f>'1.Red. Purch. Cost Surgical'!P99</f>
        <v>1104.6221254112045</v>
      </c>
      <c r="Q51" s="50"/>
      <c r="R51" s="50"/>
      <c r="S51" s="50"/>
      <c r="T51" s="50"/>
      <c r="U51" s="50"/>
      <c r="V51" s="50"/>
      <c r="W51" s="50"/>
      <c r="X51" s="50"/>
      <c r="Y51" s="50"/>
      <c r="Z51" s="50"/>
    </row>
    <row r="52" spans="1:26" ht="15.75" customHeight="1" x14ac:dyDescent="0.35">
      <c r="A52" s="50"/>
      <c r="B52" s="161" t="s">
        <v>157</v>
      </c>
      <c r="C52" s="54" t="s">
        <v>94</v>
      </c>
      <c r="D52" s="49">
        <f>'1.Red. Purch. Cost Surgical'!D100</f>
        <v>1000</v>
      </c>
      <c r="E52" s="49">
        <f>'1.Red. Purch. Cost Surgical'!E100</f>
        <v>1000</v>
      </c>
      <c r="F52" s="49">
        <f>'1.Red. Purch. Cost Surgical'!F100</f>
        <v>1000</v>
      </c>
      <c r="G52" s="49">
        <f>'1.Red. Purch. Cost Surgical'!G100</f>
        <v>1010</v>
      </c>
      <c r="H52" s="49">
        <f>'1.Red. Purch. Cost Surgical'!H100</f>
        <v>1020.1</v>
      </c>
      <c r="I52" s="49">
        <f>'1.Red. Purch. Cost Surgical'!I100</f>
        <v>1030.3009999999999</v>
      </c>
      <c r="J52" s="49">
        <f>'1.Red. Purch. Cost Surgical'!J100</f>
        <v>1040.60401</v>
      </c>
      <c r="K52" s="49">
        <f>'1.Red. Purch. Cost Surgical'!K100</f>
        <v>1051.0100500999999</v>
      </c>
      <c r="L52" s="49">
        <f>'1.Red. Purch. Cost Surgical'!L100</f>
        <v>1061.5201506009998</v>
      </c>
      <c r="M52" s="49">
        <f>'1.Red. Purch. Cost Surgical'!M100</f>
        <v>1072.1353521070098</v>
      </c>
      <c r="N52" s="49">
        <f>'1.Red. Purch. Cost Surgical'!N100</f>
        <v>1082.8567056280799</v>
      </c>
      <c r="O52" s="49">
        <f>'1.Red. Purch. Cost Surgical'!O100</f>
        <v>1093.6852726843608</v>
      </c>
      <c r="P52" s="117">
        <f>'1.Red. Purch. Cost Surgical'!P100</f>
        <v>1104.6221254112045</v>
      </c>
      <c r="Q52" s="50"/>
      <c r="R52" s="50"/>
      <c r="S52" s="50"/>
      <c r="T52" s="50"/>
      <c r="U52" s="50"/>
      <c r="V52" s="50"/>
      <c r="W52" s="50"/>
      <c r="X52" s="50"/>
      <c r="Y52" s="50"/>
      <c r="Z52" s="50"/>
    </row>
    <row r="53" spans="1:26" ht="15.75" customHeight="1" x14ac:dyDescent="0.35">
      <c r="A53" s="50"/>
      <c r="B53" s="53" t="s">
        <v>158</v>
      </c>
      <c r="C53" s="54" t="s">
        <v>94</v>
      </c>
      <c r="D53" s="49">
        <f>'1.Red. Purch. Cost Surgical'!D101</f>
        <v>1000</v>
      </c>
      <c r="E53" s="49">
        <f>'1.Red. Purch. Cost Surgical'!E101</f>
        <v>1000</v>
      </c>
      <c r="F53" s="49">
        <f>'1.Red. Purch. Cost Surgical'!F101</f>
        <v>1000</v>
      </c>
      <c r="G53" s="49">
        <f>'1.Red. Purch. Cost Surgical'!G101</f>
        <v>1010</v>
      </c>
      <c r="H53" s="49">
        <f>'1.Red. Purch. Cost Surgical'!H101</f>
        <v>1020.1</v>
      </c>
      <c r="I53" s="49">
        <f>'1.Red. Purch. Cost Surgical'!I101</f>
        <v>1030.3009999999999</v>
      </c>
      <c r="J53" s="49">
        <f>'1.Red. Purch. Cost Surgical'!J101</f>
        <v>1040.60401</v>
      </c>
      <c r="K53" s="49">
        <f>'1.Red. Purch. Cost Surgical'!K101</f>
        <v>1051.0100500999999</v>
      </c>
      <c r="L53" s="49">
        <f>'1.Red. Purch. Cost Surgical'!L101</f>
        <v>1061.5201506009998</v>
      </c>
      <c r="M53" s="49">
        <f>'1.Red. Purch. Cost Surgical'!M101</f>
        <v>1072.1353521070098</v>
      </c>
      <c r="N53" s="49">
        <f>'1.Red. Purch. Cost Surgical'!N101</f>
        <v>1082.8567056280799</v>
      </c>
      <c r="O53" s="49">
        <f>'1.Red. Purch. Cost Surgical'!O101</f>
        <v>1093.6852726843608</v>
      </c>
      <c r="P53" s="117">
        <f>'1.Red. Purch. Cost Surgical'!P101</f>
        <v>1104.6221254112045</v>
      </c>
      <c r="Q53" s="50"/>
      <c r="R53" s="50"/>
      <c r="S53" s="50"/>
      <c r="T53" s="50"/>
      <c r="U53" s="50"/>
      <c r="V53" s="50"/>
      <c r="W53" s="50"/>
      <c r="X53" s="50"/>
      <c r="Y53" s="50"/>
      <c r="Z53" s="50"/>
    </row>
    <row r="54" spans="1:26" ht="15.75" customHeight="1" x14ac:dyDescent="0.35">
      <c r="A54" s="237"/>
      <c r="B54" s="238" t="s">
        <v>65</v>
      </c>
      <c r="C54" s="239"/>
      <c r="D54" s="240">
        <f t="shared" ref="D54:P54" si="3">SUM(D40:D53)</f>
        <v>14000</v>
      </c>
      <c r="E54" s="240">
        <f t="shared" si="3"/>
        <v>14000</v>
      </c>
      <c r="F54" s="240">
        <f t="shared" si="3"/>
        <v>14000</v>
      </c>
      <c r="G54" s="240">
        <f t="shared" si="3"/>
        <v>14140</v>
      </c>
      <c r="H54" s="240">
        <f t="shared" si="3"/>
        <v>14281.400000000003</v>
      </c>
      <c r="I54" s="240">
        <f t="shared" si="3"/>
        <v>14424.213999999994</v>
      </c>
      <c r="J54" s="240">
        <f t="shared" si="3"/>
        <v>14568.456139999995</v>
      </c>
      <c r="K54" s="240">
        <f t="shared" si="3"/>
        <v>14714.140701399998</v>
      </c>
      <c r="L54" s="240">
        <f t="shared" si="3"/>
        <v>14861.282108413998</v>
      </c>
      <c r="M54" s="240">
        <f t="shared" si="3"/>
        <v>15009.894929498141</v>
      </c>
      <c r="N54" s="240">
        <f t="shared" si="3"/>
        <v>15159.993878793124</v>
      </c>
      <c r="O54" s="240">
        <f t="shared" si="3"/>
        <v>15311.593817581052</v>
      </c>
      <c r="P54" s="241">
        <f t="shared" si="3"/>
        <v>15464.709755756861</v>
      </c>
      <c r="Q54" s="237"/>
      <c r="R54" s="237"/>
      <c r="S54" s="237"/>
      <c r="T54" s="237"/>
      <c r="U54" s="237"/>
      <c r="V54" s="237"/>
      <c r="W54" s="237"/>
      <c r="X54" s="237"/>
      <c r="Y54" s="237"/>
      <c r="Z54" s="237"/>
    </row>
    <row r="55" spans="1:26" ht="15.75" customHeight="1" x14ac:dyDescent="0.35">
      <c r="A55" s="50"/>
      <c r="B55" s="62" t="s">
        <v>277</v>
      </c>
      <c r="C55" s="63"/>
      <c r="D55" s="120"/>
      <c r="E55" s="50"/>
      <c r="F55" s="50"/>
      <c r="G55" s="50"/>
      <c r="H55" s="50"/>
      <c r="I55" s="50"/>
      <c r="J55" s="50"/>
      <c r="K55" s="50"/>
      <c r="L55" s="50"/>
      <c r="M55" s="50"/>
      <c r="N55" s="50"/>
      <c r="O55" s="50"/>
      <c r="P55" s="115"/>
      <c r="Q55" s="50"/>
      <c r="R55" s="50"/>
      <c r="S55" s="50"/>
      <c r="T55" s="50"/>
      <c r="U55" s="50"/>
      <c r="V55" s="50"/>
      <c r="W55" s="50"/>
      <c r="X55" s="50"/>
      <c r="Y55" s="50"/>
      <c r="Z55" s="50"/>
    </row>
    <row r="56" spans="1:26" ht="15.75" customHeight="1" x14ac:dyDescent="0.35">
      <c r="A56" s="50"/>
      <c r="B56" s="53" t="s">
        <v>145</v>
      </c>
      <c r="C56" s="63" t="s">
        <v>262</v>
      </c>
      <c r="D56" s="242">
        <f t="shared" ref="D56:P56" si="4">$D$27</f>
        <v>1.1319999999999999</v>
      </c>
      <c r="E56" s="242">
        <f t="shared" si="4"/>
        <v>1.1319999999999999</v>
      </c>
      <c r="F56" s="242">
        <f t="shared" si="4"/>
        <v>1.1319999999999999</v>
      </c>
      <c r="G56" s="242">
        <f t="shared" si="4"/>
        <v>1.1319999999999999</v>
      </c>
      <c r="H56" s="242">
        <f t="shared" si="4"/>
        <v>1.1319999999999999</v>
      </c>
      <c r="I56" s="242">
        <f t="shared" si="4"/>
        <v>1.1319999999999999</v>
      </c>
      <c r="J56" s="242">
        <f t="shared" si="4"/>
        <v>1.1319999999999999</v>
      </c>
      <c r="K56" s="242">
        <f t="shared" si="4"/>
        <v>1.1319999999999999</v>
      </c>
      <c r="L56" s="242">
        <f t="shared" si="4"/>
        <v>1.1319999999999999</v>
      </c>
      <c r="M56" s="242">
        <f t="shared" si="4"/>
        <v>1.1319999999999999</v>
      </c>
      <c r="N56" s="242">
        <f t="shared" si="4"/>
        <v>1.1319999999999999</v>
      </c>
      <c r="O56" s="242">
        <f t="shared" si="4"/>
        <v>1.1319999999999999</v>
      </c>
      <c r="P56" s="243">
        <f t="shared" si="4"/>
        <v>1.1319999999999999</v>
      </c>
      <c r="Q56" s="50"/>
      <c r="R56" s="50"/>
      <c r="S56" s="50"/>
      <c r="T56" s="50"/>
      <c r="U56" s="50"/>
      <c r="V56" s="50"/>
      <c r="W56" s="50"/>
      <c r="X56" s="50"/>
      <c r="Y56" s="50"/>
      <c r="Z56" s="50"/>
    </row>
    <row r="57" spans="1:26" ht="15.75" customHeight="1" x14ac:dyDescent="0.35">
      <c r="A57" s="50"/>
      <c r="B57" s="53" t="s">
        <v>146</v>
      </c>
      <c r="C57" s="63" t="s">
        <v>262</v>
      </c>
      <c r="D57" s="242">
        <f t="shared" ref="D57:P57" si="5">$D$27</f>
        <v>1.1319999999999999</v>
      </c>
      <c r="E57" s="242">
        <f t="shared" si="5"/>
        <v>1.1319999999999999</v>
      </c>
      <c r="F57" s="242">
        <f t="shared" si="5"/>
        <v>1.1319999999999999</v>
      </c>
      <c r="G57" s="242">
        <f t="shared" si="5"/>
        <v>1.1319999999999999</v>
      </c>
      <c r="H57" s="242">
        <f t="shared" si="5"/>
        <v>1.1319999999999999</v>
      </c>
      <c r="I57" s="242">
        <f t="shared" si="5"/>
        <v>1.1319999999999999</v>
      </c>
      <c r="J57" s="242">
        <f t="shared" si="5"/>
        <v>1.1319999999999999</v>
      </c>
      <c r="K57" s="242">
        <f t="shared" si="5"/>
        <v>1.1319999999999999</v>
      </c>
      <c r="L57" s="242">
        <f t="shared" si="5"/>
        <v>1.1319999999999999</v>
      </c>
      <c r="M57" s="242">
        <f t="shared" si="5"/>
        <v>1.1319999999999999</v>
      </c>
      <c r="N57" s="242">
        <f t="shared" si="5"/>
        <v>1.1319999999999999</v>
      </c>
      <c r="O57" s="242">
        <f t="shared" si="5"/>
        <v>1.1319999999999999</v>
      </c>
      <c r="P57" s="243">
        <f t="shared" si="5"/>
        <v>1.1319999999999999</v>
      </c>
      <c r="Q57" s="50"/>
      <c r="R57" s="50"/>
      <c r="S57" s="50"/>
      <c r="T57" s="50"/>
      <c r="U57" s="50"/>
      <c r="V57" s="50"/>
      <c r="W57" s="50"/>
      <c r="X57" s="50"/>
      <c r="Y57" s="50"/>
      <c r="Z57" s="50"/>
    </row>
    <row r="58" spans="1:26" ht="15.75" customHeight="1" x14ac:dyDescent="0.35">
      <c r="A58" s="50"/>
      <c r="B58" s="53" t="s">
        <v>147</v>
      </c>
      <c r="C58" s="63" t="s">
        <v>262</v>
      </c>
      <c r="D58" s="242">
        <f t="shared" ref="D58:P58" si="6">$D$27</f>
        <v>1.1319999999999999</v>
      </c>
      <c r="E58" s="242">
        <f t="shared" si="6"/>
        <v>1.1319999999999999</v>
      </c>
      <c r="F58" s="242">
        <f t="shared" si="6"/>
        <v>1.1319999999999999</v>
      </c>
      <c r="G58" s="242">
        <f t="shared" si="6"/>
        <v>1.1319999999999999</v>
      </c>
      <c r="H58" s="242">
        <f t="shared" si="6"/>
        <v>1.1319999999999999</v>
      </c>
      <c r="I58" s="242">
        <f t="shared" si="6"/>
        <v>1.1319999999999999</v>
      </c>
      <c r="J58" s="242">
        <f t="shared" si="6"/>
        <v>1.1319999999999999</v>
      </c>
      <c r="K58" s="242">
        <f t="shared" si="6"/>
        <v>1.1319999999999999</v>
      </c>
      <c r="L58" s="242">
        <f t="shared" si="6"/>
        <v>1.1319999999999999</v>
      </c>
      <c r="M58" s="242">
        <f t="shared" si="6"/>
        <v>1.1319999999999999</v>
      </c>
      <c r="N58" s="242">
        <f t="shared" si="6"/>
        <v>1.1319999999999999</v>
      </c>
      <c r="O58" s="242">
        <f t="shared" si="6"/>
        <v>1.1319999999999999</v>
      </c>
      <c r="P58" s="243">
        <f t="shared" si="6"/>
        <v>1.1319999999999999</v>
      </c>
      <c r="Q58" s="50"/>
      <c r="R58" s="50"/>
      <c r="S58" s="50"/>
      <c r="T58" s="50"/>
      <c r="U58" s="50"/>
      <c r="V58" s="50"/>
      <c r="W58" s="50"/>
      <c r="X58" s="50"/>
      <c r="Y58" s="50"/>
      <c r="Z58" s="50"/>
    </row>
    <row r="59" spans="1:26" ht="15.75" customHeight="1" x14ac:dyDescent="0.35">
      <c r="A59" s="50"/>
      <c r="B59" s="53" t="s">
        <v>148</v>
      </c>
      <c r="C59" s="63" t="s">
        <v>262</v>
      </c>
      <c r="D59" s="242">
        <f t="shared" ref="D59:P59" si="7">$D$27</f>
        <v>1.1319999999999999</v>
      </c>
      <c r="E59" s="242">
        <f t="shared" si="7"/>
        <v>1.1319999999999999</v>
      </c>
      <c r="F59" s="242">
        <f t="shared" si="7"/>
        <v>1.1319999999999999</v>
      </c>
      <c r="G59" s="242">
        <f t="shared" si="7"/>
        <v>1.1319999999999999</v>
      </c>
      <c r="H59" s="242">
        <f t="shared" si="7"/>
        <v>1.1319999999999999</v>
      </c>
      <c r="I59" s="242">
        <f t="shared" si="7"/>
        <v>1.1319999999999999</v>
      </c>
      <c r="J59" s="242">
        <f t="shared" si="7"/>
        <v>1.1319999999999999</v>
      </c>
      <c r="K59" s="242">
        <f t="shared" si="7"/>
        <v>1.1319999999999999</v>
      </c>
      <c r="L59" s="242">
        <f t="shared" si="7"/>
        <v>1.1319999999999999</v>
      </c>
      <c r="M59" s="242">
        <f t="shared" si="7"/>
        <v>1.1319999999999999</v>
      </c>
      <c r="N59" s="242">
        <f t="shared" si="7"/>
        <v>1.1319999999999999</v>
      </c>
      <c r="O59" s="242">
        <f t="shared" si="7"/>
        <v>1.1319999999999999</v>
      </c>
      <c r="P59" s="243">
        <f t="shared" si="7"/>
        <v>1.1319999999999999</v>
      </c>
      <c r="Q59" s="50"/>
      <c r="R59" s="50"/>
      <c r="S59" s="50"/>
      <c r="T59" s="50"/>
      <c r="U59" s="50"/>
      <c r="V59" s="50"/>
      <c r="W59" s="50"/>
      <c r="X59" s="50"/>
      <c r="Y59" s="50"/>
      <c r="Z59" s="50"/>
    </row>
    <row r="60" spans="1:26" ht="15.75" customHeight="1" x14ac:dyDescent="0.35">
      <c r="A60" s="50"/>
      <c r="B60" s="53" t="s">
        <v>149</v>
      </c>
      <c r="C60" s="63" t="s">
        <v>262</v>
      </c>
      <c r="D60" s="242">
        <f t="shared" ref="D60:P60" si="8">$D$27</f>
        <v>1.1319999999999999</v>
      </c>
      <c r="E60" s="242">
        <f t="shared" si="8"/>
        <v>1.1319999999999999</v>
      </c>
      <c r="F60" s="242">
        <f t="shared" si="8"/>
        <v>1.1319999999999999</v>
      </c>
      <c r="G60" s="242">
        <f t="shared" si="8"/>
        <v>1.1319999999999999</v>
      </c>
      <c r="H60" s="242">
        <f t="shared" si="8"/>
        <v>1.1319999999999999</v>
      </c>
      <c r="I60" s="242">
        <f t="shared" si="8"/>
        <v>1.1319999999999999</v>
      </c>
      <c r="J60" s="242">
        <f t="shared" si="8"/>
        <v>1.1319999999999999</v>
      </c>
      <c r="K60" s="242">
        <f t="shared" si="8"/>
        <v>1.1319999999999999</v>
      </c>
      <c r="L60" s="242">
        <f t="shared" si="8"/>
        <v>1.1319999999999999</v>
      </c>
      <c r="M60" s="242">
        <f t="shared" si="8"/>
        <v>1.1319999999999999</v>
      </c>
      <c r="N60" s="242">
        <f t="shared" si="8"/>
        <v>1.1319999999999999</v>
      </c>
      <c r="O60" s="242">
        <f t="shared" si="8"/>
        <v>1.1319999999999999</v>
      </c>
      <c r="P60" s="243">
        <f t="shared" si="8"/>
        <v>1.1319999999999999</v>
      </c>
      <c r="Q60" s="50"/>
      <c r="R60" s="50"/>
      <c r="S60" s="50"/>
      <c r="T60" s="50"/>
      <c r="U60" s="50"/>
      <c r="V60" s="50"/>
      <c r="W60" s="50"/>
      <c r="X60" s="50"/>
      <c r="Y60" s="50"/>
      <c r="Z60" s="50"/>
    </row>
    <row r="61" spans="1:26" ht="15.75" customHeight="1" x14ac:dyDescent="0.35">
      <c r="A61" s="50"/>
      <c r="B61" s="53" t="s">
        <v>198</v>
      </c>
      <c r="C61" s="63" t="s">
        <v>262</v>
      </c>
      <c r="D61" s="242">
        <f t="shared" ref="D61:P61" si="9">$D$27</f>
        <v>1.1319999999999999</v>
      </c>
      <c r="E61" s="242">
        <f t="shared" si="9"/>
        <v>1.1319999999999999</v>
      </c>
      <c r="F61" s="242">
        <f t="shared" si="9"/>
        <v>1.1319999999999999</v>
      </c>
      <c r="G61" s="242">
        <f t="shared" si="9"/>
        <v>1.1319999999999999</v>
      </c>
      <c r="H61" s="242">
        <f t="shared" si="9"/>
        <v>1.1319999999999999</v>
      </c>
      <c r="I61" s="242">
        <f t="shared" si="9"/>
        <v>1.1319999999999999</v>
      </c>
      <c r="J61" s="242">
        <f t="shared" si="9"/>
        <v>1.1319999999999999</v>
      </c>
      <c r="K61" s="242">
        <f t="shared" si="9"/>
        <v>1.1319999999999999</v>
      </c>
      <c r="L61" s="242">
        <f t="shared" si="9"/>
        <v>1.1319999999999999</v>
      </c>
      <c r="M61" s="242">
        <f t="shared" si="9"/>
        <v>1.1319999999999999</v>
      </c>
      <c r="N61" s="242">
        <f t="shared" si="9"/>
        <v>1.1319999999999999</v>
      </c>
      <c r="O61" s="242">
        <f t="shared" si="9"/>
        <v>1.1319999999999999</v>
      </c>
      <c r="P61" s="243">
        <f t="shared" si="9"/>
        <v>1.1319999999999999</v>
      </c>
      <c r="Q61" s="50"/>
      <c r="R61" s="50"/>
      <c r="S61" s="50"/>
      <c r="T61" s="50"/>
      <c r="U61" s="50"/>
      <c r="V61" s="50"/>
      <c r="W61" s="50"/>
      <c r="X61" s="50"/>
      <c r="Y61" s="50"/>
      <c r="Z61" s="50"/>
    </row>
    <row r="62" spans="1:26" ht="15.75" customHeight="1" x14ac:dyDescent="0.35">
      <c r="A62" s="50"/>
      <c r="B62" s="53" t="s">
        <v>199</v>
      </c>
      <c r="C62" s="63" t="s">
        <v>262</v>
      </c>
      <c r="D62" s="242">
        <f t="shared" ref="D62:P62" si="10">$D$27</f>
        <v>1.1319999999999999</v>
      </c>
      <c r="E62" s="242">
        <f t="shared" si="10"/>
        <v>1.1319999999999999</v>
      </c>
      <c r="F62" s="242">
        <f t="shared" si="10"/>
        <v>1.1319999999999999</v>
      </c>
      <c r="G62" s="242">
        <f t="shared" si="10"/>
        <v>1.1319999999999999</v>
      </c>
      <c r="H62" s="242">
        <f t="shared" si="10"/>
        <v>1.1319999999999999</v>
      </c>
      <c r="I62" s="242">
        <f t="shared" si="10"/>
        <v>1.1319999999999999</v>
      </c>
      <c r="J62" s="242">
        <f t="shared" si="10"/>
        <v>1.1319999999999999</v>
      </c>
      <c r="K62" s="242">
        <f t="shared" si="10"/>
        <v>1.1319999999999999</v>
      </c>
      <c r="L62" s="242">
        <f t="shared" si="10"/>
        <v>1.1319999999999999</v>
      </c>
      <c r="M62" s="242">
        <f t="shared" si="10"/>
        <v>1.1319999999999999</v>
      </c>
      <c r="N62" s="242">
        <f t="shared" si="10"/>
        <v>1.1319999999999999</v>
      </c>
      <c r="O62" s="242">
        <f t="shared" si="10"/>
        <v>1.1319999999999999</v>
      </c>
      <c r="P62" s="243">
        <f t="shared" si="10"/>
        <v>1.1319999999999999</v>
      </c>
      <c r="Q62" s="50"/>
      <c r="R62" s="50"/>
      <c r="S62" s="50"/>
      <c r="T62" s="50"/>
      <c r="U62" s="50"/>
      <c r="V62" s="50"/>
      <c r="W62" s="50"/>
      <c r="X62" s="50"/>
      <c r="Y62" s="50"/>
      <c r="Z62" s="50"/>
    </row>
    <row r="63" spans="1:26" ht="15.75" customHeight="1" x14ac:dyDescent="0.35">
      <c r="A63" s="50"/>
      <c r="B63" s="53" t="s">
        <v>152</v>
      </c>
      <c r="C63" s="63" t="s">
        <v>262</v>
      </c>
      <c r="D63" s="242">
        <f t="shared" ref="D63:P63" si="11">$D$27</f>
        <v>1.1319999999999999</v>
      </c>
      <c r="E63" s="242">
        <f t="shared" si="11"/>
        <v>1.1319999999999999</v>
      </c>
      <c r="F63" s="242">
        <f t="shared" si="11"/>
        <v>1.1319999999999999</v>
      </c>
      <c r="G63" s="242">
        <f t="shared" si="11"/>
        <v>1.1319999999999999</v>
      </c>
      <c r="H63" s="242">
        <f t="shared" si="11"/>
        <v>1.1319999999999999</v>
      </c>
      <c r="I63" s="242">
        <f t="shared" si="11"/>
        <v>1.1319999999999999</v>
      </c>
      <c r="J63" s="242">
        <f t="shared" si="11"/>
        <v>1.1319999999999999</v>
      </c>
      <c r="K63" s="242">
        <f t="shared" si="11"/>
        <v>1.1319999999999999</v>
      </c>
      <c r="L63" s="242">
        <f t="shared" si="11"/>
        <v>1.1319999999999999</v>
      </c>
      <c r="M63" s="242">
        <f t="shared" si="11"/>
        <v>1.1319999999999999</v>
      </c>
      <c r="N63" s="242">
        <f t="shared" si="11"/>
        <v>1.1319999999999999</v>
      </c>
      <c r="O63" s="242">
        <f t="shared" si="11"/>
        <v>1.1319999999999999</v>
      </c>
      <c r="P63" s="243">
        <f t="shared" si="11"/>
        <v>1.1319999999999999</v>
      </c>
      <c r="Q63" s="50"/>
      <c r="R63" s="50"/>
      <c r="S63" s="50"/>
      <c r="T63" s="50"/>
      <c r="U63" s="50"/>
      <c r="V63" s="50"/>
      <c r="W63" s="50"/>
      <c r="X63" s="50"/>
      <c r="Y63" s="50"/>
      <c r="Z63" s="50"/>
    </row>
    <row r="64" spans="1:26" ht="15.75" customHeight="1" x14ac:dyDescent="0.35">
      <c r="A64" s="50"/>
      <c r="B64" s="53" t="s">
        <v>153</v>
      </c>
      <c r="C64" s="63" t="s">
        <v>262</v>
      </c>
      <c r="D64" s="242">
        <f t="shared" ref="D64:P64" si="12">$D$27</f>
        <v>1.1319999999999999</v>
      </c>
      <c r="E64" s="242">
        <f t="shared" si="12"/>
        <v>1.1319999999999999</v>
      </c>
      <c r="F64" s="242">
        <f t="shared" si="12"/>
        <v>1.1319999999999999</v>
      </c>
      <c r="G64" s="242">
        <f t="shared" si="12"/>
        <v>1.1319999999999999</v>
      </c>
      <c r="H64" s="242">
        <f t="shared" si="12"/>
        <v>1.1319999999999999</v>
      </c>
      <c r="I64" s="242">
        <f t="shared" si="12"/>
        <v>1.1319999999999999</v>
      </c>
      <c r="J64" s="242">
        <f t="shared" si="12"/>
        <v>1.1319999999999999</v>
      </c>
      <c r="K64" s="242">
        <f t="shared" si="12"/>
        <v>1.1319999999999999</v>
      </c>
      <c r="L64" s="242">
        <f t="shared" si="12"/>
        <v>1.1319999999999999</v>
      </c>
      <c r="M64" s="242">
        <f t="shared" si="12"/>
        <v>1.1319999999999999</v>
      </c>
      <c r="N64" s="242">
        <f t="shared" si="12"/>
        <v>1.1319999999999999</v>
      </c>
      <c r="O64" s="242">
        <f t="shared" si="12"/>
        <v>1.1319999999999999</v>
      </c>
      <c r="P64" s="243">
        <f t="shared" si="12"/>
        <v>1.1319999999999999</v>
      </c>
      <c r="Q64" s="50"/>
      <c r="R64" s="50"/>
      <c r="S64" s="50"/>
      <c r="T64" s="50"/>
      <c r="U64" s="50"/>
      <c r="V64" s="50"/>
      <c r="W64" s="50"/>
      <c r="X64" s="50"/>
      <c r="Y64" s="50"/>
      <c r="Z64" s="50"/>
    </row>
    <row r="65" spans="1:26" ht="15.75" customHeight="1" x14ac:dyDescent="0.35">
      <c r="A65" s="50"/>
      <c r="B65" s="53" t="s">
        <v>154</v>
      </c>
      <c r="C65" s="63" t="s">
        <v>262</v>
      </c>
      <c r="D65" s="242">
        <f t="shared" ref="D65:P65" si="13">$D$27</f>
        <v>1.1319999999999999</v>
      </c>
      <c r="E65" s="242">
        <f t="shared" si="13"/>
        <v>1.1319999999999999</v>
      </c>
      <c r="F65" s="242">
        <f t="shared" si="13"/>
        <v>1.1319999999999999</v>
      </c>
      <c r="G65" s="242">
        <f t="shared" si="13"/>
        <v>1.1319999999999999</v>
      </c>
      <c r="H65" s="242">
        <f t="shared" si="13"/>
        <v>1.1319999999999999</v>
      </c>
      <c r="I65" s="242">
        <f t="shared" si="13"/>
        <v>1.1319999999999999</v>
      </c>
      <c r="J65" s="242">
        <f t="shared" si="13"/>
        <v>1.1319999999999999</v>
      </c>
      <c r="K65" s="242">
        <f t="shared" si="13"/>
        <v>1.1319999999999999</v>
      </c>
      <c r="L65" s="242">
        <f t="shared" si="13"/>
        <v>1.1319999999999999</v>
      </c>
      <c r="M65" s="242">
        <f t="shared" si="13"/>
        <v>1.1319999999999999</v>
      </c>
      <c r="N65" s="242">
        <f t="shared" si="13"/>
        <v>1.1319999999999999</v>
      </c>
      <c r="O65" s="242">
        <f t="shared" si="13"/>
        <v>1.1319999999999999</v>
      </c>
      <c r="P65" s="243">
        <f t="shared" si="13"/>
        <v>1.1319999999999999</v>
      </c>
      <c r="Q65" s="50"/>
      <c r="R65" s="50"/>
      <c r="S65" s="50"/>
      <c r="T65" s="50"/>
      <c r="U65" s="50"/>
      <c r="V65" s="50"/>
      <c r="W65" s="50"/>
      <c r="X65" s="50"/>
      <c r="Y65" s="50"/>
      <c r="Z65" s="50"/>
    </row>
    <row r="66" spans="1:26" ht="15.75" customHeight="1" x14ac:dyDescent="0.35">
      <c r="A66" s="50"/>
      <c r="B66" s="53" t="s">
        <v>155</v>
      </c>
      <c r="C66" s="63" t="s">
        <v>262</v>
      </c>
      <c r="D66" s="242">
        <f t="shared" ref="D66:P66" si="14">$D$27</f>
        <v>1.1319999999999999</v>
      </c>
      <c r="E66" s="242">
        <f t="shared" si="14"/>
        <v>1.1319999999999999</v>
      </c>
      <c r="F66" s="242">
        <f t="shared" si="14"/>
        <v>1.1319999999999999</v>
      </c>
      <c r="G66" s="242">
        <f t="shared" si="14"/>
        <v>1.1319999999999999</v>
      </c>
      <c r="H66" s="242">
        <f t="shared" si="14"/>
        <v>1.1319999999999999</v>
      </c>
      <c r="I66" s="242">
        <f t="shared" si="14"/>
        <v>1.1319999999999999</v>
      </c>
      <c r="J66" s="242">
        <f t="shared" si="14"/>
        <v>1.1319999999999999</v>
      </c>
      <c r="K66" s="242">
        <f t="shared" si="14"/>
        <v>1.1319999999999999</v>
      </c>
      <c r="L66" s="242">
        <f t="shared" si="14"/>
        <v>1.1319999999999999</v>
      </c>
      <c r="M66" s="242">
        <f t="shared" si="14"/>
        <v>1.1319999999999999</v>
      </c>
      <c r="N66" s="242">
        <f t="shared" si="14"/>
        <v>1.1319999999999999</v>
      </c>
      <c r="O66" s="242">
        <f t="shared" si="14"/>
        <v>1.1319999999999999</v>
      </c>
      <c r="P66" s="243">
        <f t="shared" si="14"/>
        <v>1.1319999999999999</v>
      </c>
      <c r="Q66" s="50"/>
      <c r="R66" s="50"/>
      <c r="S66" s="50"/>
      <c r="T66" s="50"/>
      <c r="U66" s="50"/>
      <c r="V66" s="50"/>
      <c r="W66" s="50"/>
      <c r="X66" s="50"/>
      <c r="Y66" s="50"/>
      <c r="Z66" s="50"/>
    </row>
    <row r="67" spans="1:26" ht="15.75" customHeight="1" x14ac:dyDescent="0.35">
      <c r="A67" s="50"/>
      <c r="B67" s="53" t="s">
        <v>156</v>
      </c>
      <c r="C67" s="63" t="s">
        <v>262</v>
      </c>
      <c r="D67" s="242">
        <f t="shared" ref="D67:P67" si="15">$D$27</f>
        <v>1.1319999999999999</v>
      </c>
      <c r="E67" s="242">
        <f t="shared" si="15"/>
        <v>1.1319999999999999</v>
      </c>
      <c r="F67" s="242">
        <f t="shared" si="15"/>
        <v>1.1319999999999999</v>
      </c>
      <c r="G67" s="242">
        <f t="shared" si="15"/>
        <v>1.1319999999999999</v>
      </c>
      <c r="H67" s="242">
        <f t="shared" si="15"/>
        <v>1.1319999999999999</v>
      </c>
      <c r="I67" s="242">
        <f t="shared" si="15"/>
        <v>1.1319999999999999</v>
      </c>
      <c r="J67" s="242">
        <f t="shared" si="15"/>
        <v>1.1319999999999999</v>
      </c>
      <c r="K67" s="242">
        <f t="shared" si="15"/>
        <v>1.1319999999999999</v>
      </c>
      <c r="L67" s="242">
        <f t="shared" si="15"/>
        <v>1.1319999999999999</v>
      </c>
      <c r="M67" s="242">
        <f t="shared" si="15"/>
        <v>1.1319999999999999</v>
      </c>
      <c r="N67" s="242">
        <f t="shared" si="15"/>
        <v>1.1319999999999999</v>
      </c>
      <c r="O67" s="242">
        <f t="shared" si="15"/>
        <v>1.1319999999999999</v>
      </c>
      <c r="P67" s="243">
        <f t="shared" si="15"/>
        <v>1.1319999999999999</v>
      </c>
      <c r="Q67" s="50"/>
      <c r="R67" s="50"/>
      <c r="S67" s="50"/>
      <c r="T67" s="50"/>
      <c r="U67" s="50"/>
      <c r="V67" s="50"/>
      <c r="W67" s="50"/>
      <c r="X67" s="50"/>
      <c r="Y67" s="50"/>
      <c r="Z67" s="50"/>
    </row>
    <row r="68" spans="1:26" ht="15.75" customHeight="1" x14ac:dyDescent="0.35">
      <c r="A68" s="50"/>
      <c r="B68" s="161" t="s">
        <v>96</v>
      </c>
      <c r="C68" s="63" t="s">
        <v>262</v>
      </c>
      <c r="D68" s="242">
        <f t="shared" ref="D68:P68" si="16">$D$27</f>
        <v>1.1319999999999999</v>
      </c>
      <c r="E68" s="242">
        <f t="shared" si="16"/>
        <v>1.1319999999999999</v>
      </c>
      <c r="F68" s="242">
        <f t="shared" si="16"/>
        <v>1.1319999999999999</v>
      </c>
      <c r="G68" s="242">
        <f t="shared" si="16"/>
        <v>1.1319999999999999</v>
      </c>
      <c r="H68" s="242">
        <f t="shared" si="16"/>
        <v>1.1319999999999999</v>
      </c>
      <c r="I68" s="242">
        <f t="shared" si="16"/>
        <v>1.1319999999999999</v>
      </c>
      <c r="J68" s="242">
        <f t="shared" si="16"/>
        <v>1.1319999999999999</v>
      </c>
      <c r="K68" s="242">
        <f t="shared" si="16"/>
        <v>1.1319999999999999</v>
      </c>
      <c r="L68" s="242">
        <f t="shared" si="16"/>
        <v>1.1319999999999999</v>
      </c>
      <c r="M68" s="242">
        <f t="shared" si="16"/>
        <v>1.1319999999999999</v>
      </c>
      <c r="N68" s="242">
        <f t="shared" si="16"/>
        <v>1.1319999999999999</v>
      </c>
      <c r="O68" s="242">
        <f t="shared" si="16"/>
        <v>1.1319999999999999</v>
      </c>
      <c r="P68" s="243">
        <f t="shared" si="16"/>
        <v>1.1319999999999999</v>
      </c>
      <c r="Q68" s="50"/>
      <c r="R68" s="50"/>
      <c r="S68" s="50"/>
      <c r="T68" s="50"/>
      <c r="U68" s="50"/>
      <c r="V68" s="50"/>
      <c r="W68" s="50"/>
      <c r="X68" s="50"/>
      <c r="Y68" s="50"/>
      <c r="Z68" s="50"/>
    </row>
    <row r="69" spans="1:26" ht="15.75" customHeight="1" x14ac:dyDescent="0.35">
      <c r="A69" s="50"/>
      <c r="B69" s="53" t="s">
        <v>158</v>
      </c>
      <c r="C69" s="63" t="s">
        <v>262</v>
      </c>
      <c r="D69" s="242">
        <f t="shared" ref="D69:P69" si="17">$D$27</f>
        <v>1.1319999999999999</v>
      </c>
      <c r="E69" s="242">
        <f t="shared" si="17"/>
        <v>1.1319999999999999</v>
      </c>
      <c r="F69" s="242">
        <f t="shared" si="17"/>
        <v>1.1319999999999999</v>
      </c>
      <c r="G69" s="242">
        <f t="shared" si="17"/>
        <v>1.1319999999999999</v>
      </c>
      <c r="H69" s="242">
        <f t="shared" si="17"/>
        <v>1.1319999999999999</v>
      </c>
      <c r="I69" s="242">
        <f t="shared" si="17"/>
        <v>1.1319999999999999</v>
      </c>
      <c r="J69" s="242">
        <f t="shared" si="17"/>
        <v>1.1319999999999999</v>
      </c>
      <c r="K69" s="242">
        <f t="shared" si="17"/>
        <v>1.1319999999999999</v>
      </c>
      <c r="L69" s="242">
        <f t="shared" si="17"/>
        <v>1.1319999999999999</v>
      </c>
      <c r="M69" s="242">
        <f t="shared" si="17"/>
        <v>1.1319999999999999</v>
      </c>
      <c r="N69" s="242">
        <f t="shared" si="17"/>
        <v>1.1319999999999999</v>
      </c>
      <c r="O69" s="242">
        <f t="shared" si="17"/>
        <v>1.1319999999999999</v>
      </c>
      <c r="P69" s="243">
        <f t="shared" si="17"/>
        <v>1.1319999999999999</v>
      </c>
      <c r="Q69" s="50"/>
      <c r="R69" s="50"/>
      <c r="S69" s="50"/>
      <c r="T69" s="50"/>
      <c r="U69" s="50"/>
      <c r="V69" s="50"/>
      <c r="W69" s="50"/>
      <c r="X69" s="50"/>
      <c r="Y69" s="50"/>
      <c r="Z69" s="50"/>
    </row>
    <row r="70" spans="1:26" ht="15.75" customHeight="1" x14ac:dyDescent="0.35">
      <c r="A70" s="50"/>
      <c r="B70" s="53"/>
      <c r="C70" s="63"/>
      <c r="D70" s="242"/>
      <c r="E70" s="242"/>
      <c r="F70" s="242"/>
      <c r="G70" s="242"/>
      <c r="H70" s="242"/>
      <c r="I70" s="242"/>
      <c r="J70" s="242"/>
      <c r="K70" s="242"/>
      <c r="L70" s="242"/>
      <c r="M70" s="242"/>
      <c r="N70" s="242"/>
      <c r="O70" s="242"/>
      <c r="P70" s="243"/>
      <c r="Q70" s="50"/>
      <c r="R70" s="50"/>
      <c r="S70" s="50"/>
      <c r="T70" s="50"/>
      <c r="U70" s="50"/>
      <c r="V70" s="50"/>
      <c r="W70" s="50"/>
      <c r="X70" s="50"/>
      <c r="Y70" s="50"/>
      <c r="Z70" s="50"/>
    </row>
    <row r="71" spans="1:26" ht="15.75" customHeight="1" x14ac:dyDescent="0.35">
      <c r="A71" s="50"/>
      <c r="B71" s="46" t="s">
        <v>312</v>
      </c>
      <c r="C71" s="65"/>
      <c r="D71" s="123"/>
      <c r="E71" s="123"/>
      <c r="F71" s="123"/>
      <c r="G71" s="50"/>
      <c r="H71" s="50"/>
      <c r="I71" s="50"/>
      <c r="J71" s="50"/>
      <c r="K71" s="50"/>
      <c r="L71" s="50"/>
      <c r="M71" s="50"/>
      <c r="N71" s="50"/>
      <c r="O71" s="50"/>
      <c r="P71" s="115"/>
      <c r="Q71" s="50"/>
      <c r="R71" s="50"/>
      <c r="S71" s="50"/>
      <c r="T71" s="50"/>
      <c r="U71" s="50"/>
      <c r="V71" s="50"/>
      <c r="W71" s="50"/>
      <c r="X71" s="50"/>
      <c r="Y71" s="50"/>
      <c r="Z71" s="50"/>
    </row>
    <row r="72" spans="1:26" ht="15.75" customHeight="1" x14ac:dyDescent="0.35">
      <c r="A72" s="50"/>
      <c r="B72" s="53" t="s">
        <v>145</v>
      </c>
      <c r="C72" s="54" t="s">
        <v>94</v>
      </c>
      <c r="D72" s="80">
        <f t="shared" ref="D72:F72" si="18">D12</f>
        <v>100</v>
      </c>
      <c r="E72" s="80">
        <f t="shared" si="18"/>
        <v>100</v>
      </c>
      <c r="F72" s="80">
        <f t="shared" si="18"/>
        <v>100</v>
      </c>
      <c r="G72" s="120">
        <f t="shared" ref="G72:P72" si="19">F72*(1+$D$31)</f>
        <v>105</v>
      </c>
      <c r="H72" s="120">
        <f t="shared" si="19"/>
        <v>110.25</v>
      </c>
      <c r="I72" s="120">
        <f t="shared" si="19"/>
        <v>115.7625</v>
      </c>
      <c r="J72" s="120">
        <f t="shared" si="19"/>
        <v>121.55062500000001</v>
      </c>
      <c r="K72" s="120">
        <f t="shared" si="19"/>
        <v>127.62815625000002</v>
      </c>
      <c r="L72" s="120">
        <f t="shared" si="19"/>
        <v>134.00956406250003</v>
      </c>
      <c r="M72" s="120">
        <f t="shared" si="19"/>
        <v>140.71004226562505</v>
      </c>
      <c r="N72" s="120">
        <f t="shared" si="19"/>
        <v>147.74554437890632</v>
      </c>
      <c r="O72" s="120">
        <f t="shared" si="19"/>
        <v>155.13282159785163</v>
      </c>
      <c r="P72" s="124">
        <f t="shared" si="19"/>
        <v>162.88946267774421</v>
      </c>
      <c r="Q72" s="50"/>
      <c r="R72" s="50"/>
      <c r="S72" s="50"/>
      <c r="T72" s="50"/>
      <c r="U72" s="50"/>
      <c r="V72" s="50"/>
      <c r="W72" s="50"/>
      <c r="X72" s="50"/>
      <c r="Y72" s="50"/>
      <c r="Z72" s="50"/>
    </row>
    <row r="73" spans="1:26" ht="15.75" customHeight="1" x14ac:dyDescent="0.35">
      <c r="A73" s="50"/>
      <c r="B73" s="53" t="s">
        <v>146</v>
      </c>
      <c r="C73" s="54" t="s">
        <v>94</v>
      </c>
      <c r="D73" s="80">
        <f t="shared" ref="D73:F73" si="20">D13</f>
        <v>100</v>
      </c>
      <c r="E73" s="80">
        <f t="shared" si="20"/>
        <v>100</v>
      </c>
      <c r="F73" s="80">
        <f t="shared" si="20"/>
        <v>100</v>
      </c>
      <c r="G73" s="120">
        <f t="shared" ref="G73:P73" si="21">F73*(1+$D$31)</f>
        <v>105</v>
      </c>
      <c r="H73" s="120">
        <f t="shared" si="21"/>
        <v>110.25</v>
      </c>
      <c r="I73" s="120">
        <f t="shared" si="21"/>
        <v>115.7625</v>
      </c>
      <c r="J73" s="120">
        <f t="shared" si="21"/>
        <v>121.55062500000001</v>
      </c>
      <c r="K73" s="120">
        <f t="shared" si="21"/>
        <v>127.62815625000002</v>
      </c>
      <c r="L73" s="120">
        <f t="shared" si="21"/>
        <v>134.00956406250003</v>
      </c>
      <c r="M73" s="120">
        <f t="shared" si="21"/>
        <v>140.71004226562505</v>
      </c>
      <c r="N73" s="120">
        <f t="shared" si="21"/>
        <v>147.74554437890632</v>
      </c>
      <c r="O73" s="120">
        <f t="shared" si="21"/>
        <v>155.13282159785163</v>
      </c>
      <c r="P73" s="124">
        <f t="shared" si="21"/>
        <v>162.88946267774421</v>
      </c>
      <c r="Q73" s="50"/>
      <c r="R73" s="50"/>
      <c r="S73" s="50"/>
      <c r="T73" s="50"/>
      <c r="U73" s="50"/>
      <c r="V73" s="50"/>
      <c r="W73" s="50"/>
      <c r="X73" s="50"/>
      <c r="Y73" s="50"/>
      <c r="Z73" s="50"/>
    </row>
    <row r="74" spans="1:26" ht="15.75" customHeight="1" x14ac:dyDescent="0.35">
      <c r="A74" s="50"/>
      <c r="B74" s="53" t="s">
        <v>147</v>
      </c>
      <c r="C74" s="54" t="s">
        <v>94</v>
      </c>
      <c r="D74" s="80">
        <f t="shared" ref="D74:F74" si="22">D14</f>
        <v>100</v>
      </c>
      <c r="E74" s="80">
        <f t="shared" si="22"/>
        <v>100</v>
      </c>
      <c r="F74" s="80">
        <f t="shared" si="22"/>
        <v>100</v>
      </c>
      <c r="G74" s="120">
        <f t="shared" ref="G74:P74" si="23">F74*(1+$D$31)</f>
        <v>105</v>
      </c>
      <c r="H74" s="120">
        <f t="shared" si="23"/>
        <v>110.25</v>
      </c>
      <c r="I74" s="120">
        <f t="shared" si="23"/>
        <v>115.7625</v>
      </c>
      <c r="J74" s="120">
        <f t="shared" si="23"/>
        <v>121.55062500000001</v>
      </c>
      <c r="K74" s="120">
        <f t="shared" si="23"/>
        <v>127.62815625000002</v>
      </c>
      <c r="L74" s="120">
        <f t="shared" si="23"/>
        <v>134.00956406250003</v>
      </c>
      <c r="M74" s="120">
        <f t="shared" si="23"/>
        <v>140.71004226562505</v>
      </c>
      <c r="N74" s="120">
        <f t="shared" si="23"/>
        <v>147.74554437890632</v>
      </c>
      <c r="O74" s="120">
        <f t="shared" si="23"/>
        <v>155.13282159785163</v>
      </c>
      <c r="P74" s="124">
        <f t="shared" si="23"/>
        <v>162.88946267774421</v>
      </c>
      <c r="Q74" s="50"/>
      <c r="R74" s="50"/>
      <c r="S74" s="50"/>
      <c r="T74" s="50"/>
      <c r="U74" s="50"/>
      <c r="V74" s="50"/>
      <c r="W74" s="50"/>
      <c r="X74" s="50"/>
      <c r="Y74" s="50"/>
      <c r="Z74" s="50"/>
    </row>
    <row r="75" spans="1:26" ht="15.75" customHeight="1" x14ac:dyDescent="0.35">
      <c r="A75" s="50"/>
      <c r="B75" s="53" t="s">
        <v>148</v>
      </c>
      <c r="C75" s="54" t="s">
        <v>94</v>
      </c>
      <c r="D75" s="80">
        <f t="shared" ref="D75:F75" si="24">D15</f>
        <v>100</v>
      </c>
      <c r="E75" s="80">
        <f t="shared" si="24"/>
        <v>100</v>
      </c>
      <c r="F75" s="80">
        <f t="shared" si="24"/>
        <v>100</v>
      </c>
      <c r="G75" s="120">
        <f t="shared" ref="G75:P75" si="25">F75*(1+$D$31)</f>
        <v>105</v>
      </c>
      <c r="H75" s="120">
        <f t="shared" si="25"/>
        <v>110.25</v>
      </c>
      <c r="I75" s="120">
        <f t="shared" si="25"/>
        <v>115.7625</v>
      </c>
      <c r="J75" s="120">
        <f t="shared" si="25"/>
        <v>121.55062500000001</v>
      </c>
      <c r="K75" s="120">
        <f t="shared" si="25"/>
        <v>127.62815625000002</v>
      </c>
      <c r="L75" s="120">
        <f t="shared" si="25"/>
        <v>134.00956406250003</v>
      </c>
      <c r="M75" s="120">
        <f t="shared" si="25"/>
        <v>140.71004226562505</v>
      </c>
      <c r="N75" s="120">
        <f t="shared" si="25"/>
        <v>147.74554437890632</v>
      </c>
      <c r="O75" s="120">
        <f t="shared" si="25"/>
        <v>155.13282159785163</v>
      </c>
      <c r="P75" s="124">
        <f t="shared" si="25"/>
        <v>162.88946267774421</v>
      </c>
      <c r="Q75" s="50"/>
      <c r="R75" s="50"/>
      <c r="S75" s="50"/>
      <c r="T75" s="50"/>
      <c r="U75" s="50"/>
      <c r="V75" s="50"/>
      <c r="W75" s="50"/>
      <c r="X75" s="50"/>
      <c r="Y75" s="50"/>
      <c r="Z75" s="50"/>
    </row>
    <row r="76" spans="1:26" ht="15.75" customHeight="1" x14ac:dyDescent="0.35">
      <c r="A76" s="50"/>
      <c r="B76" s="53" t="s">
        <v>149</v>
      </c>
      <c r="C76" s="54" t="s">
        <v>94</v>
      </c>
      <c r="D76" s="80">
        <f t="shared" ref="D76:F76" si="26">D16</f>
        <v>100</v>
      </c>
      <c r="E76" s="80">
        <f t="shared" si="26"/>
        <v>100</v>
      </c>
      <c r="F76" s="80">
        <f t="shared" si="26"/>
        <v>100</v>
      </c>
      <c r="G76" s="120">
        <f t="shared" ref="G76:P76" si="27">F76*(1+$D$31)</f>
        <v>105</v>
      </c>
      <c r="H76" s="120">
        <f t="shared" si="27"/>
        <v>110.25</v>
      </c>
      <c r="I76" s="120">
        <f t="shared" si="27"/>
        <v>115.7625</v>
      </c>
      <c r="J76" s="120">
        <f t="shared" si="27"/>
        <v>121.55062500000001</v>
      </c>
      <c r="K76" s="120">
        <f t="shared" si="27"/>
        <v>127.62815625000002</v>
      </c>
      <c r="L76" s="120">
        <f t="shared" si="27"/>
        <v>134.00956406250003</v>
      </c>
      <c r="M76" s="120">
        <f t="shared" si="27"/>
        <v>140.71004226562505</v>
      </c>
      <c r="N76" s="120">
        <f t="shared" si="27"/>
        <v>147.74554437890632</v>
      </c>
      <c r="O76" s="120">
        <f t="shared" si="27"/>
        <v>155.13282159785163</v>
      </c>
      <c r="P76" s="124">
        <f t="shared" si="27"/>
        <v>162.88946267774421</v>
      </c>
      <c r="Q76" s="50"/>
      <c r="R76" s="50"/>
      <c r="S76" s="50"/>
      <c r="T76" s="50"/>
      <c r="U76" s="50"/>
      <c r="V76" s="50"/>
      <c r="W76" s="50"/>
      <c r="X76" s="50"/>
      <c r="Y76" s="50"/>
      <c r="Z76" s="50"/>
    </row>
    <row r="77" spans="1:26" ht="15.75" customHeight="1" x14ac:dyDescent="0.35">
      <c r="A77" s="50"/>
      <c r="B77" s="53" t="s">
        <v>198</v>
      </c>
      <c r="C77" s="54" t="s">
        <v>94</v>
      </c>
      <c r="D77" s="80">
        <f t="shared" ref="D77:F77" si="28">D17</f>
        <v>100</v>
      </c>
      <c r="E77" s="80">
        <f t="shared" si="28"/>
        <v>100</v>
      </c>
      <c r="F77" s="80">
        <f t="shared" si="28"/>
        <v>100</v>
      </c>
      <c r="G77" s="120">
        <f t="shared" ref="G77:P77" si="29">F77*(1+$D$31)</f>
        <v>105</v>
      </c>
      <c r="H77" s="120">
        <f t="shared" si="29"/>
        <v>110.25</v>
      </c>
      <c r="I77" s="120">
        <f t="shared" si="29"/>
        <v>115.7625</v>
      </c>
      <c r="J77" s="120">
        <f t="shared" si="29"/>
        <v>121.55062500000001</v>
      </c>
      <c r="K77" s="120">
        <f t="shared" si="29"/>
        <v>127.62815625000002</v>
      </c>
      <c r="L77" s="120">
        <f t="shared" si="29"/>
        <v>134.00956406250003</v>
      </c>
      <c r="M77" s="120">
        <f t="shared" si="29"/>
        <v>140.71004226562505</v>
      </c>
      <c r="N77" s="120">
        <f t="shared" si="29"/>
        <v>147.74554437890632</v>
      </c>
      <c r="O77" s="120">
        <f t="shared" si="29"/>
        <v>155.13282159785163</v>
      </c>
      <c r="P77" s="124">
        <f t="shared" si="29"/>
        <v>162.88946267774421</v>
      </c>
      <c r="Q77" s="50"/>
      <c r="R77" s="50"/>
      <c r="S77" s="50"/>
      <c r="T77" s="50"/>
      <c r="U77" s="50"/>
      <c r="V77" s="50"/>
      <c r="W77" s="50"/>
      <c r="X77" s="50"/>
      <c r="Y77" s="50"/>
      <c r="Z77" s="50"/>
    </row>
    <row r="78" spans="1:26" ht="15.75" customHeight="1" x14ac:dyDescent="0.35">
      <c r="A78" s="50"/>
      <c r="B78" s="53" t="s">
        <v>199</v>
      </c>
      <c r="C78" s="54" t="s">
        <v>94</v>
      </c>
      <c r="D78" s="80">
        <f t="shared" ref="D78:F78" si="30">D18</f>
        <v>100</v>
      </c>
      <c r="E78" s="80">
        <f t="shared" si="30"/>
        <v>100</v>
      </c>
      <c r="F78" s="80">
        <f t="shared" si="30"/>
        <v>100</v>
      </c>
      <c r="G78" s="120">
        <f t="shared" ref="G78:P78" si="31">F78*(1+$D$31)</f>
        <v>105</v>
      </c>
      <c r="H78" s="120">
        <f t="shared" si="31"/>
        <v>110.25</v>
      </c>
      <c r="I78" s="120">
        <f t="shared" si="31"/>
        <v>115.7625</v>
      </c>
      <c r="J78" s="120">
        <f t="shared" si="31"/>
        <v>121.55062500000001</v>
      </c>
      <c r="K78" s="120">
        <f t="shared" si="31"/>
        <v>127.62815625000002</v>
      </c>
      <c r="L78" s="120">
        <f t="shared" si="31"/>
        <v>134.00956406250003</v>
      </c>
      <c r="M78" s="120">
        <f t="shared" si="31"/>
        <v>140.71004226562505</v>
      </c>
      <c r="N78" s="120">
        <f t="shared" si="31"/>
        <v>147.74554437890632</v>
      </c>
      <c r="O78" s="120">
        <f t="shared" si="31"/>
        <v>155.13282159785163</v>
      </c>
      <c r="P78" s="124">
        <f t="shared" si="31"/>
        <v>162.88946267774421</v>
      </c>
      <c r="Q78" s="50"/>
      <c r="R78" s="50"/>
      <c r="S78" s="50"/>
      <c r="T78" s="50"/>
      <c r="U78" s="50"/>
      <c r="V78" s="50"/>
      <c r="W78" s="50"/>
      <c r="X78" s="50"/>
      <c r="Y78" s="50"/>
      <c r="Z78" s="50"/>
    </row>
    <row r="79" spans="1:26" ht="15.75" customHeight="1" x14ac:dyDescent="0.35">
      <c r="A79" s="50"/>
      <c r="B79" s="53" t="s">
        <v>152</v>
      </c>
      <c r="C79" s="54" t="s">
        <v>94</v>
      </c>
      <c r="D79" s="80">
        <f t="shared" ref="D79:F79" si="32">D19</f>
        <v>100</v>
      </c>
      <c r="E79" s="80">
        <f t="shared" si="32"/>
        <v>100</v>
      </c>
      <c r="F79" s="80">
        <f t="shared" si="32"/>
        <v>100</v>
      </c>
      <c r="G79" s="120">
        <f t="shared" ref="G79:P79" si="33">F79*(1+$D$31)</f>
        <v>105</v>
      </c>
      <c r="H79" s="120">
        <f t="shared" si="33"/>
        <v>110.25</v>
      </c>
      <c r="I79" s="120">
        <f t="shared" si="33"/>
        <v>115.7625</v>
      </c>
      <c r="J79" s="120">
        <f t="shared" si="33"/>
        <v>121.55062500000001</v>
      </c>
      <c r="K79" s="120">
        <f t="shared" si="33"/>
        <v>127.62815625000002</v>
      </c>
      <c r="L79" s="120">
        <f t="shared" si="33"/>
        <v>134.00956406250003</v>
      </c>
      <c r="M79" s="120">
        <f t="shared" si="33"/>
        <v>140.71004226562505</v>
      </c>
      <c r="N79" s="120">
        <f t="shared" si="33"/>
        <v>147.74554437890632</v>
      </c>
      <c r="O79" s="120">
        <f t="shared" si="33"/>
        <v>155.13282159785163</v>
      </c>
      <c r="P79" s="124">
        <f t="shared" si="33"/>
        <v>162.88946267774421</v>
      </c>
      <c r="Q79" s="50"/>
      <c r="R79" s="50"/>
      <c r="S79" s="50"/>
      <c r="T79" s="50"/>
      <c r="U79" s="50"/>
      <c r="V79" s="50"/>
      <c r="W79" s="50"/>
      <c r="X79" s="50"/>
      <c r="Y79" s="50"/>
      <c r="Z79" s="50"/>
    </row>
    <row r="80" spans="1:26" ht="15.75" customHeight="1" x14ac:dyDescent="0.35">
      <c r="A80" s="50"/>
      <c r="B80" s="53" t="s">
        <v>153</v>
      </c>
      <c r="C80" s="54" t="s">
        <v>94</v>
      </c>
      <c r="D80" s="80">
        <f t="shared" ref="D80:F80" si="34">D20</f>
        <v>100</v>
      </c>
      <c r="E80" s="80">
        <f t="shared" si="34"/>
        <v>100</v>
      </c>
      <c r="F80" s="80">
        <f t="shared" si="34"/>
        <v>100</v>
      </c>
      <c r="G80" s="120">
        <f t="shared" ref="G80:P80" si="35">F80*(1+$D$31)</f>
        <v>105</v>
      </c>
      <c r="H80" s="120">
        <f t="shared" si="35"/>
        <v>110.25</v>
      </c>
      <c r="I80" s="120">
        <f t="shared" si="35"/>
        <v>115.7625</v>
      </c>
      <c r="J80" s="120">
        <f t="shared" si="35"/>
        <v>121.55062500000001</v>
      </c>
      <c r="K80" s="120">
        <f t="shared" si="35"/>
        <v>127.62815625000002</v>
      </c>
      <c r="L80" s="120">
        <f t="shared" si="35"/>
        <v>134.00956406250003</v>
      </c>
      <c r="M80" s="120">
        <f t="shared" si="35"/>
        <v>140.71004226562505</v>
      </c>
      <c r="N80" s="120">
        <f t="shared" si="35"/>
        <v>147.74554437890632</v>
      </c>
      <c r="O80" s="120">
        <f t="shared" si="35"/>
        <v>155.13282159785163</v>
      </c>
      <c r="P80" s="124">
        <f t="shared" si="35"/>
        <v>162.88946267774421</v>
      </c>
      <c r="Q80" s="50"/>
      <c r="R80" s="50"/>
      <c r="S80" s="50"/>
      <c r="T80" s="50"/>
      <c r="U80" s="50"/>
      <c r="V80" s="50"/>
      <c r="W80" s="50"/>
      <c r="X80" s="50"/>
      <c r="Y80" s="50"/>
      <c r="Z80" s="50"/>
    </row>
    <row r="81" spans="1:26" ht="15.75" customHeight="1" x14ac:dyDescent="0.35">
      <c r="A81" s="50"/>
      <c r="B81" s="53" t="s">
        <v>154</v>
      </c>
      <c r="C81" s="54" t="s">
        <v>94</v>
      </c>
      <c r="D81" s="80">
        <f t="shared" ref="D81:F81" si="36">D21</f>
        <v>100</v>
      </c>
      <c r="E81" s="80">
        <f t="shared" si="36"/>
        <v>100</v>
      </c>
      <c r="F81" s="80">
        <f t="shared" si="36"/>
        <v>100</v>
      </c>
      <c r="G81" s="120">
        <f t="shared" ref="G81:P81" si="37">F81*(1+$D$31)</f>
        <v>105</v>
      </c>
      <c r="H81" s="120">
        <f t="shared" si="37"/>
        <v>110.25</v>
      </c>
      <c r="I81" s="120">
        <f t="shared" si="37"/>
        <v>115.7625</v>
      </c>
      <c r="J81" s="120">
        <f t="shared" si="37"/>
        <v>121.55062500000001</v>
      </c>
      <c r="K81" s="120">
        <f t="shared" si="37"/>
        <v>127.62815625000002</v>
      </c>
      <c r="L81" s="120">
        <f t="shared" si="37"/>
        <v>134.00956406250003</v>
      </c>
      <c r="M81" s="120">
        <f t="shared" si="37"/>
        <v>140.71004226562505</v>
      </c>
      <c r="N81" s="120">
        <f t="shared" si="37"/>
        <v>147.74554437890632</v>
      </c>
      <c r="O81" s="120">
        <f t="shared" si="37"/>
        <v>155.13282159785163</v>
      </c>
      <c r="P81" s="124">
        <f t="shared" si="37"/>
        <v>162.88946267774421</v>
      </c>
      <c r="Q81" s="50"/>
      <c r="R81" s="50"/>
      <c r="S81" s="50"/>
      <c r="T81" s="50"/>
      <c r="U81" s="50"/>
      <c r="V81" s="50"/>
      <c r="W81" s="50"/>
      <c r="X81" s="50"/>
      <c r="Y81" s="50"/>
      <c r="Z81" s="50"/>
    </row>
    <row r="82" spans="1:26" ht="15.75" customHeight="1" x14ac:dyDescent="0.35">
      <c r="A82" s="50"/>
      <c r="B82" s="53" t="s">
        <v>155</v>
      </c>
      <c r="C82" s="54" t="s">
        <v>94</v>
      </c>
      <c r="D82" s="80">
        <f t="shared" ref="D82:F82" si="38">D22</f>
        <v>100</v>
      </c>
      <c r="E82" s="80">
        <f t="shared" si="38"/>
        <v>100</v>
      </c>
      <c r="F82" s="80">
        <f t="shared" si="38"/>
        <v>100</v>
      </c>
      <c r="G82" s="120">
        <f t="shared" ref="G82:P82" si="39">F82*(1+$D$31)</f>
        <v>105</v>
      </c>
      <c r="H82" s="120">
        <f t="shared" si="39"/>
        <v>110.25</v>
      </c>
      <c r="I82" s="120">
        <f t="shared" si="39"/>
        <v>115.7625</v>
      </c>
      <c r="J82" s="120">
        <f t="shared" si="39"/>
        <v>121.55062500000001</v>
      </c>
      <c r="K82" s="120">
        <f t="shared" si="39"/>
        <v>127.62815625000002</v>
      </c>
      <c r="L82" s="120">
        <f t="shared" si="39"/>
        <v>134.00956406250003</v>
      </c>
      <c r="M82" s="120">
        <f t="shared" si="39"/>
        <v>140.71004226562505</v>
      </c>
      <c r="N82" s="120">
        <f t="shared" si="39"/>
        <v>147.74554437890632</v>
      </c>
      <c r="O82" s="120">
        <f t="shared" si="39"/>
        <v>155.13282159785163</v>
      </c>
      <c r="P82" s="124">
        <f t="shared" si="39"/>
        <v>162.88946267774421</v>
      </c>
      <c r="Q82" s="50"/>
      <c r="R82" s="50"/>
      <c r="S82" s="50"/>
      <c r="T82" s="50"/>
      <c r="U82" s="50"/>
      <c r="V82" s="50"/>
      <c r="W82" s="50"/>
      <c r="X82" s="50"/>
      <c r="Y82" s="50"/>
      <c r="Z82" s="50"/>
    </row>
    <row r="83" spans="1:26" ht="15.75" customHeight="1" x14ac:dyDescent="0.35">
      <c r="A83" s="50"/>
      <c r="B83" s="53" t="s">
        <v>156</v>
      </c>
      <c r="C83" s="54" t="s">
        <v>94</v>
      </c>
      <c r="D83" s="80">
        <f t="shared" ref="D83:F83" si="40">D23</f>
        <v>100</v>
      </c>
      <c r="E83" s="80">
        <f t="shared" si="40"/>
        <v>100</v>
      </c>
      <c r="F83" s="80">
        <f t="shared" si="40"/>
        <v>100</v>
      </c>
      <c r="G83" s="120">
        <f t="shared" ref="G83:P83" si="41">F83*(1+$D$31)</f>
        <v>105</v>
      </c>
      <c r="H83" s="120">
        <f t="shared" si="41"/>
        <v>110.25</v>
      </c>
      <c r="I83" s="120">
        <f t="shared" si="41"/>
        <v>115.7625</v>
      </c>
      <c r="J83" s="120">
        <f t="shared" si="41"/>
        <v>121.55062500000001</v>
      </c>
      <c r="K83" s="120">
        <f t="shared" si="41"/>
        <v>127.62815625000002</v>
      </c>
      <c r="L83" s="120">
        <f t="shared" si="41"/>
        <v>134.00956406250003</v>
      </c>
      <c r="M83" s="120">
        <f t="shared" si="41"/>
        <v>140.71004226562505</v>
      </c>
      <c r="N83" s="120">
        <f t="shared" si="41"/>
        <v>147.74554437890632</v>
      </c>
      <c r="O83" s="120">
        <f t="shared" si="41"/>
        <v>155.13282159785163</v>
      </c>
      <c r="P83" s="124">
        <f t="shared" si="41"/>
        <v>162.88946267774421</v>
      </c>
      <c r="Q83" s="50"/>
      <c r="R83" s="50"/>
      <c r="S83" s="50"/>
      <c r="T83" s="50"/>
      <c r="U83" s="50"/>
      <c r="V83" s="50"/>
      <c r="W83" s="50"/>
      <c r="X83" s="50"/>
      <c r="Y83" s="50"/>
      <c r="Z83" s="50"/>
    </row>
    <row r="84" spans="1:26" ht="15.75" customHeight="1" x14ac:dyDescent="0.35">
      <c r="A84" s="50"/>
      <c r="B84" s="161" t="s">
        <v>96</v>
      </c>
      <c r="C84" s="54" t="s">
        <v>94</v>
      </c>
      <c r="D84" s="80">
        <f t="shared" ref="D84:F84" si="42">D24</f>
        <v>100</v>
      </c>
      <c r="E84" s="80">
        <f t="shared" si="42"/>
        <v>100</v>
      </c>
      <c r="F84" s="80">
        <f t="shared" si="42"/>
        <v>100</v>
      </c>
      <c r="G84" s="120">
        <f t="shared" ref="G84:P84" si="43">F84*(1+$D$31)</f>
        <v>105</v>
      </c>
      <c r="H84" s="120">
        <f t="shared" si="43"/>
        <v>110.25</v>
      </c>
      <c r="I84" s="120">
        <f t="shared" si="43"/>
        <v>115.7625</v>
      </c>
      <c r="J84" s="120">
        <f t="shared" si="43"/>
        <v>121.55062500000001</v>
      </c>
      <c r="K84" s="120">
        <f t="shared" si="43"/>
        <v>127.62815625000002</v>
      </c>
      <c r="L84" s="120">
        <f t="shared" si="43"/>
        <v>134.00956406250003</v>
      </c>
      <c r="M84" s="120">
        <f t="shared" si="43"/>
        <v>140.71004226562505</v>
      </c>
      <c r="N84" s="120">
        <f t="shared" si="43"/>
        <v>147.74554437890632</v>
      </c>
      <c r="O84" s="120">
        <f t="shared" si="43"/>
        <v>155.13282159785163</v>
      </c>
      <c r="P84" s="124">
        <f t="shared" si="43"/>
        <v>162.88946267774421</v>
      </c>
      <c r="Q84" s="50"/>
      <c r="R84" s="50"/>
      <c r="S84" s="50"/>
      <c r="T84" s="50"/>
      <c r="U84" s="50"/>
      <c r="V84" s="50"/>
      <c r="W84" s="50"/>
      <c r="X84" s="50"/>
      <c r="Y84" s="50"/>
      <c r="Z84" s="50"/>
    </row>
    <row r="85" spans="1:26" ht="15.75" customHeight="1" x14ac:dyDescent="0.35">
      <c r="A85" s="50"/>
      <c r="B85" s="53" t="s">
        <v>158</v>
      </c>
      <c r="C85" s="54" t="s">
        <v>94</v>
      </c>
      <c r="D85" s="80">
        <f t="shared" ref="D85:F85" si="44">D25</f>
        <v>100</v>
      </c>
      <c r="E85" s="80">
        <f t="shared" si="44"/>
        <v>100</v>
      </c>
      <c r="F85" s="80">
        <f t="shared" si="44"/>
        <v>100</v>
      </c>
      <c r="G85" s="120">
        <f t="shared" ref="G85:P85" si="45">F85*(1+$D$31)</f>
        <v>105</v>
      </c>
      <c r="H85" s="120">
        <f t="shared" si="45"/>
        <v>110.25</v>
      </c>
      <c r="I85" s="120">
        <f t="shared" si="45"/>
        <v>115.7625</v>
      </c>
      <c r="J85" s="120">
        <f t="shared" si="45"/>
        <v>121.55062500000001</v>
      </c>
      <c r="K85" s="120">
        <f t="shared" si="45"/>
        <v>127.62815625000002</v>
      </c>
      <c r="L85" s="120">
        <f t="shared" si="45"/>
        <v>134.00956406250003</v>
      </c>
      <c r="M85" s="120">
        <f t="shared" si="45"/>
        <v>140.71004226562505</v>
      </c>
      <c r="N85" s="120">
        <f t="shared" si="45"/>
        <v>147.74554437890632</v>
      </c>
      <c r="O85" s="120">
        <f t="shared" si="45"/>
        <v>155.13282159785163</v>
      </c>
      <c r="P85" s="124">
        <f t="shared" si="45"/>
        <v>162.88946267774421</v>
      </c>
      <c r="Q85" s="50"/>
      <c r="R85" s="50"/>
      <c r="S85" s="50"/>
      <c r="T85" s="50"/>
      <c r="U85" s="50"/>
      <c r="V85" s="50"/>
      <c r="W85" s="50"/>
      <c r="X85" s="50"/>
      <c r="Y85" s="50"/>
      <c r="Z85" s="50"/>
    </row>
    <row r="86" spans="1:26" ht="15.75" customHeight="1" x14ac:dyDescent="0.35">
      <c r="A86" s="237"/>
      <c r="B86" s="238" t="s">
        <v>65</v>
      </c>
      <c r="C86" s="239"/>
      <c r="D86" s="118">
        <f t="shared" ref="D86:P86" si="46">SUM(D72:D85)</f>
        <v>1400</v>
      </c>
      <c r="E86" s="118">
        <f t="shared" si="46"/>
        <v>1400</v>
      </c>
      <c r="F86" s="118">
        <f t="shared" si="46"/>
        <v>1400</v>
      </c>
      <c r="G86" s="118">
        <f t="shared" si="46"/>
        <v>1470</v>
      </c>
      <c r="H86" s="118">
        <f t="shared" si="46"/>
        <v>1543.5</v>
      </c>
      <c r="I86" s="118">
        <f t="shared" si="46"/>
        <v>1620.6750000000004</v>
      </c>
      <c r="J86" s="118">
        <f t="shared" si="46"/>
        <v>1701.7087500000005</v>
      </c>
      <c r="K86" s="118">
        <f t="shared" si="46"/>
        <v>1786.7941875000008</v>
      </c>
      <c r="L86" s="118">
        <f t="shared" si="46"/>
        <v>1876.1338968749999</v>
      </c>
      <c r="M86" s="118">
        <f t="shared" si="46"/>
        <v>1969.9405917187512</v>
      </c>
      <c r="N86" s="118">
        <f t="shared" si="46"/>
        <v>2068.4376213046885</v>
      </c>
      <c r="O86" s="118">
        <f t="shared" si="46"/>
        <v>2171.8595023699231</v>
      </c>
      <c r="P86" s="119">
        <f t="shared" si="46"/>
        <v>2280.4524774884189</v>
      </c>
      <c r="Q86" s="237"/>
      <c r="R86" s="237"/>
      <c r="S86" s="237"/>
      <c r="T86" s="237"/>
      <c r="U86" s="237"/>
      <c r="V86" s="237"/>
      <c r="W86" s="237"/>
      <c r="X86" s="237"/>
      <c r="Y86" s="237"/>
      <c r="Z86" s="237"/>
    </row>
    <row r="87" spans="1:26" ht="15.75" customHeight="1" x14ac:dyDescent="0.35">
      <c r="A87" s="50"/>
      <c r="B87" s="46" t="s">
        <v>278</v>
      </c>
      <c r="C87" s="47"/>
      <c r="D87" s="120"/>
      <c r="E87" s="120"/>
      <c r="F87" s="120"/>
      <c r="G87" s="120"/>
      <c r="H87" s="120"/>
      <c r="I87" s="120"/>
      <c r="J87" s="120"/>
      <c r="K87" s="120"/>
      <c r="L87" s="120"/>
      <c r="M87" s="120"/>
      <c r="N87" s="50"/>
      <c r="O87" s="50"/>
      <c r="P87" s="115"/>
      <c r="Q87" s="50"/>
      <c r="R87" s="50"/>
      <c r="S87" s="50"/>
      <c r="T87" s="50"/>
      <c r="U87" s="50"/>
      <c r="V87" s="50"/>
      <c r="W87" s="50"/>
      <c r="X87" s="50"/>
      <c r="Y87" s="50"/>
      <c r="Z87" s="50"/>
    </row>
    <row r="88" spans="1:26" ht="15.75" customHeight="1" x14ac:dyDescent="0.35">
      <c r="A88" s="50"/>
      <c r="B88" s="53" t="s">
        <v>145</v>
      </c>
      <c r="C88" s="47" t="str">
        <f t="shared" ref="C88:C101" si="47">C56</f>
        <v>lb</v>
      </c>
      <c r="D88" s="120">
        <f t="shared" ref="D88:P88" si="48">D56*D72</f>
        <v>113.19999999999999</v>
      </c>
      <c r="E88" s="120">
        <f t="shared" si="48"/>
        <v>113.19999999999999</v>
      </c>
      <c r="F88" s="120">
        <f t="shared" si="48"/>
        <v>113.19999999999999</v>
      </c>
      <c r="G88" s="120">
        <f t="shared" si="48"/>
        <v>118.85999999999999</v>
      </c>
      <c r="H88" s="120">
        <f t="shared" si="48"/>
        <v>124.80299999999998</v>
      </c>
      <c r="I88" s="120">
        <f t="shared" si="48"/>
        <v>131.04315</v>
      </c>
      <c r="J88" s="120">
        <f t="shared" si="48"/>
        <v>137.59530749999999</v>
      </c>
      <c r="K88" s="120">
        <f t="shared" si="48"/>
        <v>144.475072875</v>
      </c>
      <c r="L88" s="120">
        <f t="shared" si="48"/>
        <v>151.69882651875002</v>
      </c>
      <c r="M88" s="120">
        <f t="shared" si="48"/>
        <v>159.28376784468753</v>
      </c>
      <c r="N88" s="120">
        <f t="shared" si="48"/>
        <v>167.24795623692194</v>
      </c>
      <c r="O88" s="120">
        <f t="shared" si="48"/>
        <v>175.61035404876802</v>
      </c>
      <c r="P88" s="124">
        <f t="shared" si="48"/>
        <v>184.39087175120642</v>
      </c>
      <c r="Q88" s="50"/>
      <c r="R88" s="50"/>
      <c r="S88" s="50"/>
      <c r="T88" s="50"/>
      <c r="U88" s="50"/>
      <c r="V88" s="50"/>
      <c r="W88" s="50"/>
      <c r="X88" s="50"/>
      <c r="Y88" s="50"/>
      <c r="Z88" s="50"/>
    </row>
    <row r="89" spans="1:26" ht="15.75" customHeight="1" x14ac:dyDescent="0.35">
      <c r="A89" s="50"/>
      <c r="B89" s="53" t="s">
        <v>146</v>
      </c>
      <c r="C89" s="47" t="str">
        <f t="shared" si="47"/>
        <v>lb</v>
      </c>
      <c r="D89" s="120">
        <f t="shared" ref="D89:P89" si="49">D57*D73</f>
        <v>113.19999999999999</v>
      </c>
      <c r="E89" s="120">
        <f t="shared" si="49"/>
        <v>113.19999999999999</v>
      </c>
      <c r="F89" s="120">
        <f t="shared" si="49"/>
        <v>113.19999999999999</v>
      </c>
      <c r="G89" s="120">
        <f t="shared" si="49"/>
        <v>118.85999999999999</v>
      </c>
      <c r="H89" s="120">
        <f t="shared" si="49"/>
        <v>124.80299999999998</v>
      </c>
      <c r="I89" s="120">
        <f t="shared" si="49"/>
        <v>131.04315</v>
      </c>
      <c r="J89" s="120">
        <f t="shared" si="49"/>
        <v>137.59530749999999</v>
      </c>
      <c r="K89" s="120">
        <f t="shared" si="49"/>
        <v>144.475072875</v>
      </c>
      <c r="L89" s="120">
        <f t="shared" si="49"/>
        <v>151.69882651875002</v>
      </c>
      <c r="M89" s="120">
        <f t="shared" si="49"/>
        <v>159.28376784468753</v>
      </c>
      <c r="N89" s="120">
        <f t="shared" si="49"/>
        <v>167.24795623692194</v>
      </c>
      <c r="O89" s="120">
        <f t="shared" si="49"/>
        <v>175.61035404876802</v>
      </c>
      <c r="P89" s="124">
        <f t="shared" si="49"/>
        <v>184.39087175120642</v>
      </c>
      <c r="Q89" s="50"/>
      <c r="R89" s="50"/>
      <c r="S89" s="50"/>
      <c r="T89" s="50"/>
      <c r="U89" s="50"/>
      <c r="V89" s="50"/>
      <c r="W89" s="50"/>
      <c r="X89" s="50"/>
      <c r="Y89" s="50"/>
      <c r="Z89" s="50"/>
    </row>
    <row r="90" spans="1:26" ht="15.75" customHeight="1" x14ac:dyDescent="0.35">
      <c r="A90" s="50"/>
      <c r="B90" s="53" t="s">
        <v>147</v>
      </c>
      <c r="C90" s="47" t="str">
        <f t="shared" si="47"/>
        <v>lb</v>
      </c>
      <c r="D90" s="120">
        <f t="shared" ref="D90:P90" si="50">D58*D74</f>
        <v>113.19999999999999</v>
      </c>
      <c r="E90" s="120">
        <f t="shared" si="50"/>
        <v>113.19999999999999</v>
      </c>
      <c r="F90" s="120">
        <f t="shared" si="50"/>
        <v>113.19999999999999</v>
      </c>
      <c r="G90" s="120">
        <f t="shared" si="50"/>
        <v>118.85999999999999</v>
      </c>
      <c r="H90" s="120">
        <f t="shared" si="50"/>
        <v>124.80299999999998</v>
      </c>
      <c r="I90" s="120">
        <f t="shared" si="50"/>
        <v>131.04315</v>
      </c>
      <c r="J90" s="120">
        <f t="shared" si="50"/>
        <v>137.59530749999999</v>
      </c>
      <c r="K90" s="120">
        <f t="shared" si="50"/>
        <v>144.475072875</v>
      </c>
      <c r="L90" s="120">
        <f t="shared" si="50"/>
        <v>151.69882651875002</v>
      </c>
      <c r="M90" s="120">
        <f t="shared" si="50"/>
        <v>159.28376784468753</v>
      </c>
      <c r="N90" s="120">
        <f t="shared" si="50"/>
        <v>167.24795623692194</v>
      </c>
      <c r="O90" s="120">
        <f t="shared" si="50"/>
        <v>175.61035404876802</v>
      </c>
      <c r="P90" s="124">
        <f t="shared" si="50"/>
        <v>184.39087175120642</v>
      </c>
      <c r="Q90" s="50"/>
      <c r="R90" s="50"/>
      <c r="S90" s="50"/>
      <c r="T90" s="50"/>
      <c r="U90" s="50"/>
      <c r="V90" s="50"/>
      <c r="W90" s="50"/>
      <c r="X90" s="50"/>
      <c r="Y90" s="50"/>
      <c r="Z90" s="50"/>
    </row>
    <row r="91" spans="1:26" ht="15.75" customHeight="1" x14ac:dyDescent="0.35">
      <c r="A91" s="50"/>
      <c r="B91" s="53" t="s">
        <v>148</v>
      </c>
      <c r="C91" s="47" t="str">
        <f t="shared" si="47"/>
        <v>lb</v>
      </c>
      <c r="D91" s="120">
        <f t="shared" ref="D91:P91" si="51">D59*D75</f>
        <v>113.19999999999999</v>
      </c>
      <c r="E91" s="120">
        <f t="shared" si="51"/>
        <v>113.19999999999999</v>
      </c>
      <c r="F91" s="120">
        <f t="shared" si="51"/>
        <v>113.19999999999999</v>
      </c>
      <c r="G91" s="120">
        <f t="shared" si="51"/>
        <v>118.85999999999999</v>
      </c>
      <c r="H91" s="120">
        <f t="shared" si="51"/>
        <v>124.80299999999998</v>
      </c>
      <c r="I91" s="120">
        <f t="shared" si="51"/>
        <v>131.04315</v>
      </c>
      <c r="J91" s="120">
        <f t="shared" si="51"/>
        <v>137.59530749999999</v>
      </c>
      <c r="K91" s="120">
        <f t="shared" si="51"/>
        <v>144.475072875</v>
      </c>
      <c r="L91" s="120">
        <f t="shared" si="51"/>
        <v>151.69882651875002</v>
      </c>
      <c r="M91" s="120">
        <f t="shared" si="51"/>
        <v>159.28376784468753</v>
      </c>
      <c r="N91" s="120">
        <f t="shared" si="51"/>
        <v>167.24795623692194</v>
      </c>
      <c r="O91" s="120">
        <f t="shared" si="51"/>
        <v>175.61035404876802</v>
      </c>
      <c r="P91" s="124">
        <f t="shared" si="51"/>
        <v>184.39087175120642</v>
      </c>
      <c r="Q91" s="50"/>
      <c r="R91" s="50"/>
      <c r="S91" s="50"/>
      <c r="T91" s="50"/>
      <c r="U91" s="50"/>
      <c r="V91" s="50"/>
      <c r="W91" s="50"/>
      <c r="X91" s="50"/>
      <c r="Y91" s="50"/>
      <c r="Z91" s="50"/>
    </row>
    <row r="92" spans="1:26" ht="15.75" customHeight="1" x14ac:dyDescent="0.35">
      <c r="A92" s="50"/>
      <c r="B92" s="53" t="s">
        <v>149</v>
      </c>
      <c r="C92" s="47" t="str">
        <f t="shared" si="47"/>
        <v>lb</v>
      </c>
      <c r="D92" s="120">
        <f t="shared" ref="D92:P92" si="52">D60*D76</f>
        <v>113.19999999999999</v>
      </c>
      <c r="E92" s="120">
        <f t="shared" si="52"/>
        <v>113.19999999999999</v>
      </c>
      <c r="F92" s="120">
        <f t="shared" si="52"/>
        <v>113.19999999999999</v>
      </c>
      <c r="G92" s="120">
        <f t="shared" si="52"/>
        <v>118.85999999999999</v>
      </c>
      <c r="H92" s="120">
        <f t="shared" si="52"/>
        <v>124.80299999999998</v>
      </c>
      <c r="I92" s="120">
        <f t="shared" si="52"/>
        <v>131.04315</v>
      </c>
      <c r="J92" s="120">
        <f t="shared" si="52"/>
        <v>137.59530749999999</v>
      </c>
      <c r="K92" s="120">
        <f t="shared" si="52"/>
        <v>144.475072875</v>
      </c>
      <c r="L92" s="120">
        <f t="shared" si="52"/>
        <v>151.69882651875002</v>
      </c>
      <c r="M92" s="120">
        <f t="shared" si="52"/>
        <v>159.28376784468753</v>
      </c>
      <c r="N92" s="120">
        <f t="shared" si="52"/>
        <v>167.24795623692194</v>
      </c>
      <c r="O92" s="120">
        <f t="shared" si="52"/>
        <v>175.61035404876802</v>
      </c>
      <c r="P92" s="124">
        <f t="shared" si="52"/>
        <v>184.39087175120642</v>
      </c>
      <c r="Q92" s="50"/>
      <c r="R92" s="50"/>
      <c r="S92" s="50"/>
      <c r="T92" s="50"/>
      <c r="U92" s="50"/>
      <c r="V92" s="50"/>
      <c r="W92" s="50"/>
      <c r="X92" s="50"/>
      <c r="Y92" s="50"/>
      <c r="Z92" s="50"/>
    </row>
    <row r="93" spans="1:26" ht="15.75" customHeight="1" x14ac:dyDescent="0.35">
      <c r="A93" s="50"/>
      <c r="B93" s="53" t="s">
        <v>198</v>
      </c>
      <c r="C93" s="47" t="str">
        <f t="shared" si="47"/>
        <v>lb</v>
      </c>
      <c r="D93" s="120">
        <f t="shared" ref="D93:P93" si="53">D61*D77</f>
        <v>113.19999999999999</v>
      </c>
      <c r="E93" s="120">
        <f t="shared" si="53"/>
        <v>113.19999999999999</v>
      </c>
      <c r="F93" s="120">
        <f t="shared" si="53"/>
        <v>113.19999999999999</v>
      </c>
      <c r="G93" s="120">
        <f t="shared" si="53"/>
        <v>118.85999999999999</v>
      </c>
      <c r="H93" s="120">
        <f t="shared" si="53"/>
        <v>124.80299999999998</v>
      </c>
      <c r="I93" s="120">
        <f t="shared" si="53"/>
        <v>131.04315</v>
      </c>
      <c r="J93" s="120">
        <f t="shared" si="53"/>
        <v>137.59530749999999</v>
      </c>
      <c r="K93" s="120">
        <f t="shared" si="53"/>
        <v>144.475072875</v>
      </c>
      <c r="L93" s="120">
        <f t="shared" si="53"/>
        <v>151.69882651875002</v>
      </c>
      <c r="M93" s="120">
        <f t="shared" si="53"/>
        <v>159.28376784468753</v>
      </c>
      <c r="N93" s="120">
        <f t="shared" si="53"/>
        <v>167.24795623692194</v>
      </c>
      <c r="O93" s="120">
        <f t="shared" si="53"/>
        <v>175.61035404876802</v>
      </c>
      <c r="P93" s="124">
        <f t="shared" si="53"/>
        <v>184.39087175120642</v>
      </c>
      <c r="Q93" s="50"/>
      <c r="R93" s="50"/>
      <c r="S93" s="50"/>
      <c r="T93" s="50"/>
      <c r="U93" s="50"/>
      <c r="V93" s="50"/>
      <c r="W93" s="50"/>
      <c r="X93" s="50"/>
      <c r="Y93" s="50"/>
      <c r="Z93" s="50"/>
    </row>
    <row r="94" spans="1:26" ht="15.75" customHeight="1" x14ac:dyDescent="0.35">
      <c r="A94" s="50"/>
      <c r="B94" s="53" t="s">
        <v>199</v>
      </c>
      <c r="C94" s="47" t="str">
        <f t="shared" si="47"/>
        <v>lb</v>
      </c>
      <c r="D94" s="120">
        <f t="shared" ref="D94:P94" si="54">D62*D78</f>
        <v>113.19999999999999</v>
      </c>
      <c r="E94" s="120">
        <f t="shared" si="54"/>
        <v>113.19999999999999</v>
      </c>
      <c r="F94" s="120">
        <f t="shared" si="54"/>
        <v>113.19999999999999</v>
      </c>
      <c r="G94" s="120">
        <f t="shared" si="54"/>
        <v>118.85999999999999</v>
      </c>
      <c r="H94" s="120">
        <f t="shared" si="54"/>
        <v>124.80299999999998</v>
      </c>
      <c r="I94" s="120">
        <f t="shared" si="54"/>
        <v>131.04315</v>
      </c>
      <c r="J94" s="120">
        <f t="shared" si="54"/>
        <v>137.59530749999999</v>
      </c>
      <c r="K94" s="120">
        <f t="shared" si="54"/>
        <v>144.475072875</v>
      </c>
      <c r="L94" s="120">
        <f t="shared" si="54"/>
        <v>151.69882651875002</v>
      </c>
      <c r="M94" s="120">
        <f t="shared" si="54"/>
        <v>159.28376784468753</v>
      </c>
      <c r="N94" s="120">
        <f t="shared" si="54"/>
        <v>167.24795623692194</v>
      </c>
      <c r="O94" s="120">
        <f t="shared" si="54"/>
        <v>175.61035404876802</v>
      </c>
      <c r="P94" s="124">
        <f t="shared" si="54"/>
        <v>184.39087175120642</v>
      </c>
      <c r="Q94" s="50"/>
      <c r="R94" s="50"/>
      <c r="S94" s="50"/>
      <c r="T94" s="50"/>
      <c r="U94" s="50"/>
      <c r="V94" s="50"/>
      <c r="W94" s="50"/>
      <c r="X94" s="50"/>
      <c r="Y94" s="50"/>
      <c r="Z94" s="50"/>
    </row>
    <row r="95" spans="1:26" ht="15.75" customHeight="1" x14ac:dyDescent="0.35">
      <c r="A95" s="50"/>
      <c r="B95" s="53" t="s">
        <v>152</v>
      </c>
      <c r="C95" s="47" t="str">
        <f t="shared" si="47"/>
        <v>lb</v>
      </c>
      <c r="D95" s="120">
        <f t="shared" ref="D95:P95" si="55">D63*D79</f>
        <v>113.19999999999999</v>
      </c>
      <c r="E95" s="120">
        <f t="shared" si="55"/>
        <v>113.19999999999999</v>
      </c>
      <c r="F95" s="120">
        <f t="shared" si="55"/>
        <v>113.19999999999999</v>
      </c>
      <c r="G95" s="120">
        <f t="shared" si="55"/>
        <v>118.85999999999999</v>
      </c>
      <c r="H95" s="120">
        <f t="shared" si="55"/>
        <v>124.80299999999998</v>
      </c>
      <c r="I95" s="120">
        <f t="shared" si="55"/>
        <v>131.04315</v>
      </c>
      <c r="J95" s="120">
        <f t="shared" si="55"/>
        <v>137.59530749999999</v>
      </c>
      <c r="K95" s="120">
        <f t="shared" si="55"/>
        <v>144.475072875</v>
      </c>
      <c r="L95" s="120">
        <f t="shared" si="55"/>
        <v>151.69882651875002</v>
      </c>
      <c r="M95" s="120">
        <f t="shared" si="55"/>
        <v>159.28376784468753</v>
      </c>
      <c r="N95" s="120">
        <f t="shared" si="55"/>
        <v>167.24795623692194</v>
      </c>
      <c r="O95" s="120">
        <f t="shared" si="55"/>
        <v>175.61035404876802</v>
      </c>
      <c r="P95" s="124">
        <f t="shared" si="55"/>
        <v>184.39087175120642</v>
      </c>
      <c r="Q95" s="50"/>
      <c r="R95" s="50"/>
      <c r="S95" s="50"/>
      <c r="T95" s="50"/>
      <c r="U95" s="50"/>
      <c r="V95" s="50"/>
      <c r="W95" s="50"/>
      <c r="X95" s="50"/>
      <c r="Y95" s="50"/>
      <c r="Z95" s="50"/>
    </row>
    <row r="96" spans="1:26" ht="15.75" customHeight="1" x14ac:dyDescent="0.35">
      <c r="A96" s="50"/>
      <c r="B96" s="53" t="s">
        <v>153</v>
      </c>
      <c r="C96" s="47" t="str">
        <f t="shared" si="47"/>
        <v>lb</v>
      </c>
      <c r="D96" s="120">
        <f t="shared" ref="D96:P96" si="56">D64*D80</f>
        <v>113.19999999999999</v>
      </c>
      <c r="E96" s="120">
        <f t="shared" si="56"/>
        <v>113.19999999999999</v>
      </c>
      <c r="F96" s="120">
        <f t="shared" si="56"/>
        <v>113.19999999999999</v>
      </c>
      <c r="G96" s="120">
        <f t="shared" si="56"/>
        <v>118.85999999999999</v>
      </c>
      <c r="H96" s="120">
        <f t="shared" si="56"/>
        <v>124.80299999999998</v>
      </c>
      <c r="I96" s="120">
        <f t="shared" si="56"/>
        <v>131.04315</v>
      </c>
      <c r="J96" s="120">
        <f t="shared" si="56"/>
        <v>137.59530749999999</v>
      </c>
      <c r="K96" s="120">
        <f t="shared" si="56"/>
        <v>144.475072875</v>
      </c>
      <c r="L96" s="120">
        <f t="shared" si="56"/>
        <v>151.69882651875002</v>
      </c>
      <c r="M96" s="120">
        <f t="shared" si="56"/>
        <v>159.28376784468753</v>
      </c>
      <c r="N96" s="120">
        <f t="shared" si="56"/>
        <v>167.24795623692194</v>
      </c>
      <c r="O96" s="120">
        <f t="shared" si="56"/>
        <v>175.61035404876802</v>
      </c>
      <c r="P96" s="124">
        <f t="shared" si="56"/>
        <v>184.39087175120642</v>
      </c>
      <c r="Q96" s="50"/>
      <c r="R96" s="50"/>
      <c r="S96" s="50"/>
      <c r="T96" s="50"/>
      <c r="U96" s="50"/>
      <c r="V96" s="50"/>
      <c r="W96" s="50"/>
      <c r="X96" s="50"/>
      <c r="Y96" s="50"/>
      <c r="Z96" s="50"/>
    </row>
    <row r="97" spans="1:26" ht="15.75" customHeight="1" x14ac:dyDescent="0.35">
      <c r="A97" s="50"/>
      <c r="B97" s="53" t="s">
        <v>154</v>
      </c>
      <c r="C97" s="47" t="str">
        <f t="shared" si="47"/>
        <v>lb</v>
      </c>
      <c r="D97" s="120">
        <f t="shared" ref="D97:P97" si="57">D65*D81</f>
        <v>113.19999999999999</v>
      </c>
      <c r="E97" s="120">
        <f t="shared" si="57"/>
        <v>113.19999999999999</v>
      </c>
      <c r="F97" s="120">
        <f t="shared" si="57"/>
        <v>113.19999999999999</v>
      </c>
      <c r="G97" s="120">
        <f t="shared" si="57"/>
        <v>118.85999999999999</v>
      </c>
      <c r="H97" s="120">
        <f t="shared" si="57"/>
        <v>124.80299999999998</v>
      </c>
      <c r="I97" s="120">
        <f t="shared" si="57"/>
        <v>131.04315</v>
      </c>
      <c r="J97" s="120">
        <f t="shared" si="57"/>
        <v>137.59530749999999</v>
      </c>
      <c r="K97" s="120">
        <f t="shared" si="57"/>
        <v>144.475072875</v>
      </c>
      <c r="L97" s="120">
        <f t="shared" si="57"/>
        <v>151.69882651875002</v>
      </c>
      <c r="M97" s="120">
        <f t="shared" si="57"/>
        <v>159.28376784468753</v>
      </c>
      <c r="N97" s="120">
        <f t="shared" si="57"/>
        <v>167.24795623692194</v>
      </c>
      <c r="O97" s="120">
        <f t="shared" si="57"/>
        <v>175.61035404876802</v>
      </c>
      <c r="P97" s="124">
        <f t="shared" si="57"/>
        <v>184.39087175120642</v>
      </c>
      <c r="Q97" s="50"/>
      <c r="R97" s="50"/>
      <c r="S97" s="50"/>
      <c r="T97" s="50"/>
      <c r="U97" s="50"/>
      <c r="V97" s="50"/>
      <c r="W97" s="50"/>
      <c r="X97" s="50"/>
      <c r="Y97" s="50"/>
      <c r="Z97" s="50"/>
    </row>
    <row r="98" spans="1:26" ht="15.75" customHeight="1" x14ac:dyDescent="0.35">
      <c r="A98" s="50"/>
      <c r="B98" s="53" t="s">
        <v>155</v>
      </c>
      <c r="C98" s="47" t="str">
        <f t="shared" si="47"/>
        <v>lb</v>
      </c>
      <c r="D98" s="120">
        <f t="shared" ref="D98:P98" si="58">D66*D82</f>
        <v>113.19999999999999</v>
      </c>
      <c r="E98" s="120">
        <f t="shared" si="58"/>
        <v>113.19999999999999</v>
      </c>
      <c r="F98" s="120">
        <f t="shared" si="58"/>
        <v>113.19999999999999</v>
      </c>
      <c r="G98" s="120">
        <f t="shared" si="58"/>
        <v>118.85999999999999</v>
      </c>
      <c r="H98" s="120">
        <f t="shared" si="58"/>
        <v>124.80299999999998</v>
      </c>
      <c r="I98" s="120">
        <f t="shared" si="58"/>
        <v>131.04315</v>
      </c>
      <c r="J98" s="120">
        <f t="shared" si="58"/>
        <v>137.59530749999999</v>
      </c>
      <c r="K98" s="120">
        <f t="shared" si="58"/>
        <v>144.475072875</v>
      </c>
      <c r="L98" s="120">
        <f t="shared" si="58"/>
        <v>151.69882651875002</v>
      </c>
      <c r="M98" s="120">
        <f t="shared" si="58"/>
        <v>159.28376784468753</v>
      </c>
      <c r="N98" s="120">
        <f t="shared" si="58"/>
        <v>167.24795623692194</v>
      </c>
      <c r="O98" s="120">
        <f t="shared" si="58"/>
        <v>175.61035404876802</v>
      </c>
      <c r="P98" s="124">
        <f t="shared" si="58"/>
        <v>184.39087175120642</v>
      </c>
      <c r="Q98" s="50"/>
      <c r="R98" s="50"/>
      <c r="S98" s="50"/>
      <c r="T98" s="50"/>
      <c r="U98" s="50"/>
      <c r="V98" s="50"/>
      <c r="W98" s="50"/>
      <c r="X98" s="50"/>
      <c r="Y98" s="50"/>
      <c r="Z98" s="50"/>
    </row>
    <row r="99" spans="1:26" ht="15.75" customHeight="1" x14ac:dyDescent="0.35">
      <c r="A99" s="50"/>
      <c r="B99" s="53" t="s">
        <v>156</v>
      </c>
      <c r="C99" s="47" t="str">
        <f t="shared" si="47"/>
        <v>lb</v>
      </c>
      <c r="D99" s="120">
        <f t="shared" ref="D99:P99" si="59">D67*D83</f>
        <v>113.19999999999999</v>
      </c>
      <c r="E99" s="120">
        <f t="shared" si="59"/>
        <v>113.19999999999999</v>
      </c>
      <c r="F99" s="120">
        <f t="shared" si="59"/>
        <v>113.19999999999999</v>
      </c>
      <c r="G99" s="120">
        <f t="shared" si="59"/>
        <v>118.85999999999999</v>
      </c>
      <c r="H99" s="120">
        <f t="shared" si="59"/>
        <v>124.80299999999998</v>
      </c>
      <c r="I99" s="120">
        <f t="shared" si="59"/>
        <v>131.04315</v>
      </c>
      <c r="J99" s="120">
        <f t="shared" si="59"/>
        <v>137.59530749999999</v>
      </c>
      <c r="K99" s="120">
        <f t="shared" si="59"/>
        <v>144.475072875</v>
      </c>
      <c r="L99" s="120">
        <f t="shared" si="59"/>
        <v>151.69882651875002</v>
      </c>
      <c r="M99" s="120">
        <f t="shared" si="59"/>
        <v>159.28376784468753</v>
      </c>
      <c r="N99" s="120">
        <f t="shared" si="59"/>
        <v>167.24795623692194</v>
      </c>
      <c r="O99" s="120">
        <f t="shared" si="59"/>
        <v>175.61035404876802</v>
      </c>
      <c r="P99" s="124">
        <f t="shared" si="59"/>
        <v>184.39087175120642</v>
      </c>
      <c r="Q99" s="50"/>
      <c r="R99" s="50"/>
      <c r="S99" s="50"/>
      <c r="T99" s="50"/>
      <c r="U99" s="50"/>
      <c r="V99" s="50"/>
      <c r="W99" s="50"/>
      <c r="X99" s="50"/>
      <c r="Y99" s="50"/>
      <c r="Z99" s="50"/>
    </row>
    <row r="100" spans="1:26" ht="15.75" customHeight="1" x14ac:dyDescent="0.35">
      <c r="A100" s="50"/>
      <c r="B100" s="161" t="s">
        <v>96</v>
      </c>
      <c r="C100" s="47" t="str">
        <f t="shared" si="47"/>
        <v>lb</v>
      </c>
      <c r="D100" s="120">
        <f t="shared" ref="D100:P100" si="60">D68*D84</f>
        <v>113.19999999999999</v>
      </c>
      <c r="E100" s="120">
        <f t="shared" si="60"/>
        <v>113.19999999999999</v>
      </c>
      <c r="F100" s="120">
        <f t="shared" si="60"/>
        <v>113.19999999999999</v>
      </c>
      <c r="G100" s="120">
        <f t="shared" si="60"/>
        <v>118.85999999999999</v>
      </c>
      <c r="H100" s="120">
        <f t="shared" si="60"/>
        <v>124.80299999999998</v>
      </c>
      <c r="I100" s="120">
        <f t="shared" si="60"/>
        <v>131.04315</v>
      </c>
      <c r="J100" s="120">
        <f t="shared" si="60"/>
        <v>137.59530749999999</v>
      </c>
      <c r="K100" s="120">
        <f t="shared" si="60"/>
        <v>144.475072875</v>
      </c>
      <c r="L100" s="120">
        <f t="shared" si="60"/>
        <v>151.69882651875002</v>
      </c>
      <c r="M100" s="120">
        <f t="shared" si="60"/>
        <v>159.28376784468753</v>
      </c>
      <c r="N100" s="120">
        <f t="shared" si="60"/>
        <v>167.24795623692194</v>
      </c>
      <c r="O100" s="120">
        <f t="shared" si="60"/>
        <v>175.61035404876802</v>
      </c>
      <c r="P100" s="124">
        <f t="shared" si="60"/>
        <v>184.39087175120642</v>
      </c>
      <c r="Q100" s="50"/>
      <c r="R100" s="50"/>
      <c r="S100" s="50"/>
      <c r="T100" s="50"/>
      <c r="U100" s="50"/>
      <c r="V100" s="50"/>
      <c r="W100" s="50"/>
      <c r="X100" s="50"/>
      <c r="Y100" s="50"/>
      <c r="Z100" s="50"/>
    </row>
    <row r="101" spans="1:26" ht="15.75" customHeight="1" x14ac:dyDescent="0.35">
      <c r="A101" s="50"/>
      <c r="B101" s="53" t="s">
        <v>158</v>
      </c>
      <c r="C101" s="47" t="str">
        <f t="shared" si="47"/>
        <v>lb</v>
      </c>
      <c r="D101" s="120">
        <f t="shared" ref="D101:P101" si="61">D69*D85</f>
        <v>113.19999999999999</v>
      </c>
      <c r="E101" s="120">
        <f t="shared" si="61"/>
        <v>113.19999999999999</v>
      </c>
      <c r="F101" s="120">
        <f t="shared" si="61"/>
        <v>113.19999999999999</v>
      </c>
      <c r="G101" s="120">
        <f t="shared" si="61"/>
        <v>118.85999999999999</v>
      </c>
      <c r="H101" s="120">
        <f t="shared" si="61"/>
        <v>124.80299999999998</v>
      </c>
      <c r="I101" s="120">
        <f t="shared" si="61"/>
        <v>131.04315</v>
      </c>
      <c r="J101" s="120">
        <f t="shared" si="61"/>
        <v>137.59530749999999</v>
      </c>
      <c r="K101" s="120">
        <f t="shared" si="61"/>
        <v>144.475072875</v>
      </c>
      <c r="L101" s="120">
        <f t="shared" si="61"/>
        <v>151.69882651875002</v>
      </c>
      <c r="M101" s="120">
        <f t="shared" si="61"/>
        <v>159.28376784468753</v>
      </c>
      <c r="N101" s="120">
        <f t="shared" si="61"/>
        <v>167.24795623692194</v>
      </c>
      <c r="O101" s="120">
        <f t="shared" si="61"/>
        <v>175.61035404876802</v>
      </c>
      <c r="P101" s="124">
        <f t="shared" si="61"/>
        <v>184.39087175120642</v>
      </c>
      <c r="Q101" s="50"/>
      <c r="R101" s="50"/>
      <c r="S101" s="50"/>
      <c r="T101" s="50"/>
      <c r="U101" s="50"/>
      <c r="V101" s="50"/>
      <c r="W101" s="50"/>
      <c r="X101" s="50"/>
      <c r="Y101" s="50"/>
      <c r="Z101" s="50"/>
    </row>
    <row r="102" spans="1:26" ht="15.75" customHeight="1" x14ac:dyDescent="0.35">
      <c r="A102" s="237"/>
      <c r="B102" s="238" t="s">
        <v>65</v>
      </c>
      <c r="C102" s="239"/>
      <c r="D102" s="240">
        <f t="shared" ref="D102:P102" si="62">SUM(D88:D101)</f>
        <v>1584.8000000000004</v>
      </c>
      <c r="E102" s="240">
        <f t="shared" si="62"/>
        <v>1584.8000000000004</v>
      </c>
      <c r="F102" s="240">
        <f t="shared" si="62"/>
        <v>1584.8000000000004</v>
      </c>
      <c r="G102" s="240">
        <f t="shared" si="62"/>
        <v>1664.0399999999995</v>
      </c>
      <c r="H102" s="240">
        <f t="shared" si="62"/>
        <v>1747.2419999999993</v>
      </c>
      <c r="I102" s="240">
        <f t="shared" si="62"/>
        <v>1834.6040999999998</v>
      </c>
      <c r="J102" s="240">
        <f t="shared" si="62"/>
        <v>1926.3343049999999</v>
      </c>
      <c r="K102" s="240">
        <f t="shared" si="62"/>
        <v>2022.6510202500001</v>
      </c>
      <c r="L102" s="240">
        <f t="shared" si="62"/>
        <v>2123.783571262501</v>
      </c>
      <c r="M102" s="240">
        <f t="shared" si="62"/>
        <v>2229.9727498256261</v>
      </c>
      <c r="N102" s="240">
        <f t="shared" si="62"/>
        <v>2341.4713873169067</v>
      </c>
      <c r="O102" s="240">
        <f t="shared" si="62"/>
        <v>2458.5449566827515</v>
      </c>
      <c r="P102" s="241">
        <f t="shared" si="62"/>
        <v>2581.4722045168892</v>
      </c>
      <c r="Q102" s="237"/>
      <c r="R102" s="237"/>
      <c r="S102" s="237"/>
      <c r="T102" s="237"/>
      <c r="U102" s="237"/>
      <c r="V102" s="237"/>
      <c r="W102" s="237"/>
      <c r="X102" s="237"/>
      <c r="Y102" s="237"/>
      <c r="Z102" s="237"/>
    </row>
    <row r="103" spans="1:26" ht="15.75" customHeight="1" x14ac:dyDescent="0.35">
      <c r="A103" s="50"/>
      <c r="B103" s="46" t="s">
        <v>280</v>
      </c>
      <c r="C103" s="194"/>
      <c r="D103" s="245"/>
      <c r="E103" s="245"/>
      <c r="F103" s="245"/>
      <c r="G103" s="245"/>
      <c r="H103" s="245"/>
      <c r="I103" s="246"/>
      <c r="J103" s="246"/>
      <c r="K103" s="246"/>
      <c r="L103" s="246"/>
      <c r="M103" s="246"/>
      <c r="N103" s="246"/>
      <c r="O103" s="246"/>
      <c r="P103" s="247"/>
      <c r="Q103" s="50"/>
      <c r="R103" s="50"/>
      <c r="S103" s="50"/>
      <c r="T103" s="50"/>
      <c r="U103" s="50"/>
      <c r="V103" s="50"/>
      <c r="W103" s="50"/>
      <c r="X103" s="50"/>
      <c r="Y103" s="50"/>
      <c r="Z103" s="50"/>
    </row>
    <row r="104" spans="1:26" ht="15.75" customHeight="1" x14ac:dyDescent="0.35">
      <c r="A104" s="50"/>
      <c r="B104" s="53" t="s">
        <v>145</v>
      </c>
      <c r="C104" s="47" t="s">
        <v>202</v>
      </c>
      <c r="D104" s="248">
        <f t="shared" ref="D104:P104" si="63">$D$28</f>
        <v>0.3</v>
      </c>
      <c r="E104" s="248">
        <f t="shared" si="63"/>
        <v>0.3</v>
      </c>
      <c r="F104" s="248">
        <f t="shared" si="63"/>
        <v>0.3</v>
      </c>
      <c r="G104" s="248">
        <f t="shared" si="63"/>
        <v>0.3</v>
      </c>
      <c r="H104" s="248">
        <f t="shared" si="63"/>
        <v>0.3</v>
      </c>
      <c r="I104" s="248">
        <f t="shared" si="63"/>
        <v>0.3</v>
      </c>
      <c r="J104" s="248">
        <f t="shared" si="63"/>
        <v>0.3</v>
      </c>
      <c r="K104" s="248">
        <f t="shared" si="63"/>
        <v>0.3</v>
      </c>
      <c r="L104" s="248">
        <f t="shared" si="63"/>
        <v>0.3</v>
      </c>
      <c r="M104" s="248">
        <f t="shared" si="63"/>
        <v>0.3</v>
      </c>
      <c r="N104" s="248">
        <f t="shared" si="63"/>
        <v>0.3</v>
      </c>
      <c r="O104" s="248">
        <f t="shared" si="63"/>
        <v>0.3</v>
      </c>
      <c r="P104" s="249">
        <f t="shared" si="63"/>
        <v>0.3</v>
      </c>
      <c r="Q104" s="50"/>
      <c r="R104" s="50"/>
      <c r="S104" s="50"/>
      <c r="T104" s="50"/>
      <c r="U104" s="50"/>
      <c r="V104" s="50"/>
      <c r="W104" s="50"/>
      <c r="X104" s="50"/>
      <c r="Y104" s="50"/>
      <c r="Z104" s="50"/>
    </row>
    <row r="105" spans="1:26" ht="15.75" customHeight="1" x14ac:dyDescent="0.35">
      <c r="A105" s="50"/>
      <c r="B105" s="53" t="s">
        <v>146</v>
      </c>
      <c r="C105" s="47" t="s">
        <v>202</v>
      </c>
      <c r="D105" s="248">
        <f t="shared" ref="D105:P105" si="64">$D$28</f>
        <v>0.3</v>
      </c>
      <c r="E105" s="248">
        <f t="shared" si="64"/>
        <v>0.3</v>
      </c>
      <c r="F105" s="248">
        <f t="shared" si="64"/>
        <v>0.3</v>
      </c>
      <c r="G105" s="248">
        <f t="shared" si="64"/>
        <v>0.3</v>
      </c>
      <c r="H105" s="248">
        <f t="shared" si="64"/>
        <v>0.3</v>
      </c>
      <c r="I105" s="248">
        <f t="shared" si="64"/>
        <v>0.3</v>
      </c>
      <c r="J105" s="248">
        <f t="shared" si="64"/>
        <v>0.3</v>
      </c>
      <c r="K105" s="248">
        <f t="shared" si="64"/>
        <v>0.3</v>
      </c>
      <c r="L105" s="248">
        <f t="shared" si="64"/>
        <v>0.3</v>
      </c>
      <c r="M105" s="248">
        <f t="shared" si="64"/>
        <v>0.3</v>
      </c>
      <c r="N105" s="248">
        <f t="shared" si="64"/>
        <v>0.3</v>
      </c>
      <c r="O105" s="248">
        <f t="shared" si="64"/>
        <v>0.3</v>
      </c>
      <c r="P105" s="249">
        <f t="shared" si="64"/>
        <v>0.3</v>
      </c>
      <c r="Q105" s="50"/>
      <c r="R105" s="50"/>
      <c r="S105" s="50"/>
      <c r="T105" s="50"/>
      <c r="U105" s="50"/>
      <c r="V105" s="50"/>
      <c r="W105" s="50"/>
      <c r="X105" s="50"/>
      <c r="Y105" s="50"/>
      <c r="Z105" s="50"/>
    </row>
    <row r="106" spans="1:26" ht="15.75" customHeight="1" x14ac:dyDescent="0.35">
      <c r="A106" s="50"/>
      <c r="B106" s="53" t="s">
        <v>147</v>
      </c>
      <c r="C106" s="47" t="s">
        <v>202</v>
      </c>
      <c r="D106" s="248">
        <f t="shared" ref="D106:P106" si="65">$D$28</f>
        <v>0.3</v>
      </c>
      <c r="E106" s="248">
        <f t="shared" si="65"/>
        <v>0.3</v>
      </c>
      <c r="F106" s="248">
        <f t="shared" si="65"/>
        <v>0.3</v>
      </c>
      <c r="G106" s="248">
        <f t="shared" si="65"/>
        <v>0.3</v>
      </c>
      <c r="H106" s="248">
        <f t="shared" si="65"/>
        <v>0.3</v>
      </c>
      <c r="I106" s="248">
        <f t="shared" si="65"/>
        <v>0.3</v>
      </c>
      <c r="J106" s="248">
        <f t="shared" si="65"/>
        <v>0.3</v>
      </c>
      <c r="K106" s="248">
        <f t="shared" si="65"/>
        <v>0.3</v>
      </c>
      <c r="L106" s="248">
        <f t="shared" si="65"/>
        <v>0.3</v>
      </c>
      <c r="M106" s="248">
        <f t="shared" si="65"/>
        <v>0.3</v>
      </c>
      <c r="N106" s="248">
        <f t="shared" si="65"/>
        <v>0.3</v>
      </c>
      <c r="O106" s="248">
        <f t="shared" si="65"/>
        <v>0.3</v>
      </c>
      <c r="P106" s="249">
        <f t="shared" si="65"/>
        <v>0.3</v>
      </c>
      <c r="Q106" s="50"/>
      <c r="R106" s="50"/>
      <c r="S106" s="50"/>
      <c r="T106" s="50"/>
      <c r="U106" s="50"/>
      <c r="V106" s="50"/>
      <c r="W106" s="50"/>
      <c r="X106" s="50"/>
      <c r="Y106" s="50"/>
      <c r="Z106" s="50"/>
    </row>
    <row r="107" spans="1:26" ht="15.75" customHeight="1" x14ac:dyDescent="0.35">
      <c r="A107" s="50"/>
      <c r="B107" s="53" t="s">
        <v>148</v>
      </c>
      <c r="C107" s="47" t="s">
        <v>202</v>
      </c>
      <c r="D107" s="248">
        <f t="shared" ref="D107:P107" si="66">$D$28</f>
        <v>0.3</v>
      </c>
      <c r="E107" s="248">
        <f t="shared" si="66"/>
        <v>0.3</v>
      </c>
      <c r="F107" s="248">
        <f t="shared" si="66"/>
        <v>0.3</v>
      </c>
      <c r="G107" s="248">
        <f t="shared" si="66"/>
        <v>0.3</v>
      </c>
      <c r="H107" s="248">
        <f t="shared" si="66"/>
        <v>0.3</v>
      </c>
      <c r="I107" s="248">
        <f t="shared" si="66"/>
        <v>0.3</v>
      </c>
      <c r="J107" s="248">
        <f t="shared" si="66"/>
        <v>0.3</v>
      </c>
      <c r="K107" s="248">
        <f t="shared" si="66"/>
        <v>0.3</v>
      </c>
      <c r="L107" s="248">
        <f t="shared" si="66"/>
        <v>0.3</v>
      </c>
      <c r="M107" s="248">
        <f t="shared" si="66"/>
        <v>0.3</v>
      </c>
      <c r="N107" s="248">
        <f t="shared" si="66"/>
        <v>0.3</v>
      </c>
      <c r="O107" s="248">
        <f t="shared" si="66"/>
        <v>0.3</v>
      </c>
      <c r="P107" s="249">
        <f t="shared" si="66"/>
        <v>0.3</v>
      </c>
      <c r="Q107" s="50"/>
      <c r="R107" s="50"/>
      <c r="S107" s="50"/>
      <c r="T107" s="50"/>
      <c r="U107" s="50"/>
      <c r="V107" s="50"/>
      <c r="W107" s="50"/>
      <c r="X107" s="50"/>
      <c r="Y107" s="50"/>
      <c r="Z107" s="50"/>
    </row>
    <row r="108" spans="1:26" ht="15.75" customHeight="1" x14ac:dyDescent="0.35">
      <c r="A108" s="50"/>
      <c r="B108" s="53" t="s">
        <v>149</v>
      </c>
      <c r="C108" s="47" t="s">
        <v>202</v>
      </c>
      <c r="D108" s="248">
        <f t="shared" ref="D108:P108" si="67">$D$28</f>
        <v>0.3</v>
      </c>
      <c r="E108" s="248">
        <f t="shared" si="67"/>
        <v>0.3</v>
      </c>
      <c r="F108" s="248">
        <f t="shared" si="67"/>
        <v>0.3</v>
      </c>
      <c r="G108" s="248">
        <f t="shared" si="67"/>
        <v>0.3</v>
      </c>
      <c r="H108" s="248">
        <f t="shared" si="67"/>
        <v>0.3</v>
      </c>
      <c r="I108" s="248">
        <f t="shared" si="67"/>
        <v>0.3</v>
      </c>
      <c r="J108" s="248">
        <f t="shared" si="67"/>
        <v>0.3</v>
      </c>
      <c r="K108" s="248">
        <f t="shared" si="67"/>
        <v>0.3</v>
      </c>
      <c r="L108" s="248">
        <f t="shared" si="67"/>
        <v>0.3</v>
      </c>
      <c r="M108" s="248">
        <f t="shared" si="67"/>
        <v>0.3</v>
      </c>
      <c r="N108" s="248">
        <f t="shared" si="67"/>
        <v>0.3</v>
      </c>
      <c r="O108" s="248">
        <f t="shared" si="67"/>
        <v>0.3</v>
      </c>
      <c r="P108" s="249">
        <f t="shared" si="67"/>
        <v>0.3</v>
      </c>
      <c r="Q108" s="50"/>
      <c r="R108" s="50"/>
      <c r="S108" s="50"/>
      <c r="T108" s="50"/>
      <c r="U108" s="50"/>
      <c r="V108" s="50"/>
      <c r="W108" s="50"/>
      <c r="X108" s="50"/>
      <c r="Y108" s="50"/>
      <c r="Z108" s="50"/>
    </row>
    <row r="109" spans="1:26" ht="15.75" customHeight="1" x14ac:dyDescent="0.35">
      <c r="A109" s="50"/>
      <c r="B109" s="53" t="s">
        <v>198</v>
      </c>
      <c r="C109" s="47" t="s">
        <v>202</v>
      </c>
      <c r="D109" s="248">
        <f t="shared" ref="D109:P109" si="68">$D$28</f>
        <v>0.3</v>
      </c>
      <c r="E109" s="248">
        <f t="shared" si="68"/>
        <v>0.3</v>
      </c>
      <c r="F109" s="248">
        <f t="shared" si="68"/>
        <v>0.3</v>
      </c>
      <c r="G109" s="248">
        <f t="shared" si="68"/>
        <v>0.3</v>
      </c>
      <c r="H109" s="248">
        <f t="shared" si="68"/>
        <v>0.3</v>
      </c>
      <c r="I109" s="248">
        <f t="shared" si="68"/>
        <v>0.3</v>
      </c>
      <c r="J109" s="248">
        <f t="shared" si="68"/>
        <v>0.3</v>
      </c>
      <c r="K109" s="248">
        <f t="shared" si="68"/>
        <v>0.3</v>
      </c>
      <c r="L109" s="248">
        <f t="shared" si="68"/>
        <v>0.3</v>
      </c>
      <c r="M109" s="248">
        <f t="shared" si="68"/>
        <v>0.3</v>
      </c>
      <c r="N109" s="248">
        <f t="shared" si="68"/>
        <v>0.3</v>
      </c>
      <c r="O109" s="248">
        <f t="shared" si="68"/>
        <v>0.3</v>
      </c>
      <c r="P109" s="249">
        <f t="shared" si="68"/>
        <v>0.3</v>
      </c>
      <c r="Q109" s="50"/>
      <c r="R109" s="50"/>
      <c r="S109" s="50"/>
      <c r="T109" s="50"/>
      <c r="U109" s="50"/>
      <c r="V109" s="50"/>
      <c r="W109" s="50"/>
      <c r="X109" s="50"/>
      <c r="Y109" s="50"/>
      <c r="Z109" s="50"/>
    </row>
    <row r="110" spans="1:26" ht="15.75" customHeight="1" x14ac:dyDescent="0.35">
      <c r="A110" s="50"/>
      <c r="B110" s="53" t="s">
        <v>199</v>
      </c>
      <c r="C110" s="47" t="s">
        <v>202</v>
      </c>
      <c r="D110" s="248">
        <f t="shared" ref="D110:P110" si="69">$D$28</f>
        <v>0.3</v>
      </c>
      <c r="E110" s="248">
        <f t="shared" si="69"/>
        <v>0.3</v>
      </c>
      <c r="F110" s="248">
        <f t="shared" si="69"/>
        <v>0.3</v>
      </c>
      <c r="G110" s="248">
        <f t="shared" si="69"/>
        <v>0.3</v>
      </c>
      <c r="H110" s="248">
        <f t="shared" si="69"/>
        <v>0.3</v>
      </c>
      <c r="I110" s="248">
        <f t="shared" si="69"/>
        <v>0.3</v>
      </c>
      <c r="J110" s="248">
        <f t="shared" si="69"/>
        <v>0.3</v>
      </c>
      <c r="K110" s="248">
        <f t="shared" si="69"/>
        <v>0.3</v>
      </c>
      <c r="L110" s="248">
        <f t="shared" si="69"/>
        <v>0.3</v>
      </c>
      <c r="M110" s="248">
        <f t="shared" si="69"/>
        <v>0.3</v>
      </c>
      <c r="N110" s="248">
        <f t="shared" si="69"/>
        <v>0.3</v>
      </c>
      <c r="O110" s="248">
        <f t="shared" si="69"/>
        <v>0.3</v>
      </c>
      <c r="P110" s="249">
        <f t="shared" si="69"/>
        <v>0.3</v>
      </c>
      <c r="Q110" s="50"/>
      <c r="R110" s="50"/>
      <c r="S110" s="50"/>
      <c r="T110" s="50"/>
      <c r="U110" s="50"/>
      <c r="V110" s="50"/>
      <c r="W110" s="50"/>
      <c r="X110" s="50"/>
      <c r="Y110" s="50"/>
      <c r="Z110" s="50"/>
    </row>
    <row r="111" spans="1:26" ht="15.75" customHeight="1" x14ac:dyDescent="0.35">
      <c r="A111" s="50"/>
      <c r="B111" s="53" t="s">
        <v>152</v>
      </c>
      <c r="C111" s="47" t="s">
        <v>202</v>
      </c>
      <c r="D111" s="248">
        <f t="shared" ref="D111:P111" si="70">$D$28</f>
        <v>0.3</v>
      </c>
      <c r="E111" s="248">
        <f t="shared" si="70"/>
        <v>0.3</v>
      </c>
      <c r="F111" s="248">
        <f t="shared" si="70"/>
        <v>0.3</v>
      </c>
      <c r="G111" s="248">
        <f t="shared" si="70"/>
        <v>0.3</v>
      </c>
      <c r="H111" s="248">
        <f t="shared" si="70"/>
        <v>0.3</v>
      </c>
      <c r="I111" s="248">
        <f t="shared" si="70"/>
        <v>0.3</v>
      </c>
      <c r="J111" s="248">
        <f t="shared" si="70"/>
        <v>0.3</v>
      </c>
      <c r="K111" s="248">
        <f t="shared" si="70"/>
        <v>0.3</v>
      </c>
      <c r="L111" s="248">
        <f t="shared" si="70"/>
        <v>0.3</v>
      </c>
      <c r="M111" s="248">
        <f t="shared" si="70"/>
        <v>0.3</v>
      </c>
      <c r="N111" s="248">
        <f t="shared" si="70"/>
        <v>0.3</v>
      </c>
      <c r="O111" s="248">
        <f t="shared" si="70"/>
        <v>0.3</v>
      </c>
      <c r="P111" s="249">
        <f t="shared" si="70"/>
        <v>0.3</v>
      </c>
      <c r="Q111" s="50"/>
      <c r="R111" s="50"/>
      <c r="S111" s="50"/>
      <c r="T111" s="50"/>
      <c r="U111" s="50"/>
      <c r="V111" s="50"/>
      <c r="W111" s="50"/>
      <c r="X111" s="50"/>
      <c r="Y111" s="50"/>
      <c r="Z111" s="50"/>
    </row>
    <row r="112" spans="1:26" ht="15.75" customHeight="1" x14ac:dyDescent="0.35">
      <c r="A112" s="50"/>
      <c r="B112" s="53" t="s">
        <v>153</v>
      </c>
      <c r="C112" s="47" t="s">
        <v>202</v>
      </c>
      <c r="D112" s="248">
        <f t="shared" ref="D112:P112" si="71">$D$28</f>
        <v>0.3</v>
      </c>
      <c r="E112" s="248">
        <f t="shared" si="71"/>
        <v>0.3</v>
      </c>
      <c r="F112" s="248">
        <f t="shared" si="71"/>
        <v>0.3</v>
      </c>
      <c r="G112" s="248">
        <f t="shared" si="71"/>
        <v>0.3</v>
      </c>
      <c r="H112" s="248">
        <f t="shared" si="71"/>
        <v>0.3</v>
      </c>
      <c r="I112" s="248">
        <f t="shared" si="71"/>
        <v>0.3</v>
      </c>
      <c r="J112" s="248">
        <f t="shared" si="71"/>
        <v>0.3</v>
      </c>
      <c r="K112" s="248">
        <f t="shared" si="71"/>
        <v>0.3</v>
      </c>
      <c r="L112" s="248">
        <f t="shared" si="71"/>
        <v>0.3</v>
      </c>
      <c r="M112" s="248">
        <f t="shared" si="71"/>
        <v>0.3</v>
      </c>
      <c r="N112" s="248">
        <f t="shared" si="71"/>
        <v>0.3</v>
      </c>
      <c r="O112" s="248">
        <f t="shared" si="71"/>
        <v>0.3</v>
      </c>
      <c r="P112" s="249">
        <f t="shared" si="71"/>
        <v>0.3</v>
      </c>
      <c r="Q112" s="50"/>
      <c r="R112" s="50"/>
      <c r="S112" s="50"/>
      <c r="T112" s="50"/>
      <c r="U112" s="50"/>
      <c r="V112" s="50"/>
      <c r="W112" s="50"/>
      <c r="X112" s="50"/>
      <c r="Y112" s="50"/>
      <c r="Z112" s="50"/>
    </row>
    <row r="113" spans="1:26" ht="15.75" customHeight="1" x14ac:dyDescent="0.35">
      <c r="A113" s="50"/>
      <c r="B113" s="53" t="s">
        <v>154</v>
      </c>
      <c r="C113" s="47" t="s">
        <v>202</v>
      </c>
      <c r="D113" s="248">
        <f t="shared" ref="D113:P113" si="72">$D$28</f>
        <v>0.3</v>
      </c>
      <c r="E113" s="248">
        <f t="shared" si="72"/>
        <v>0.3</v>
      </c>
      <c r="F113" s="248">
        <f t="shared" si="72"/>
        <v>0.3</v>
      </c>
      <c r="G113" s="248">
        <f t="shared" si="72"/>
        <v>0.3</v>
      </c>
      <c r="H113" s="248">
        <f t="shared" si="72"/>
        <v>0.3</v>
      </c>
      <c r="I113" s="248">
        <f t="shared" si="72"/>
        <v>0.3</v>
      </c>
      <c r="J113" s="248">
        <f t="shared" si="72"/>
        <v>0.3</v>
      </c>
      <c r="K113" s="248">
        <f t="shared" si="72"/>
        <v>0.3</v>
      </c>
      <c r="L113" s="248">
        <f t="shared" si="72"/>
        <v>0.3</v>
      </c>
      <c r="M113" s="248">
        <f t="shared" si="72"/>
        <v>0.3</v>
      </c>
      <c r="N113" s="248">
        <f t="shared" si="72"/>
        <v>0.3</v>
      </c>
      <c r="O113" s="248">
        <f t="shared" si="72"/>
        <v>0.3</v>
      </c>
      <c r="P113" s="249">
        <f t="shared" si="72"/>
        <v>0.3</v>
      </c>
      <c r="Q113" s="50"/>
      <c r="R113" s="50"/>
      <c r="S113" s="50"/>
      <c r="T113" s="50"/>
      <c r="U113" s="50"/>
      <c r="V113" s="50"/>
      <c r="W113" s="50"/>
      <c r="X113" s="50"/>
      <c r="Y113" s="50"/>
      <c r="Z113" s="50"/>
    </row>
    <row r="114" spans="1:26" ht="15.75" customHeight="1" x14ac:dyDescent="0.35">
      <c r="A114" s="50"/>
      <c r="B114" s="53" t="s">
        <v>155</v>
      </c>
      <c r="C114" s="47" t="s">
        <v>202</v>
      </c>
      <c r="D114" s="248">
        <f t="shared" ref="D114:P114" si="73">$D$28</f>
        <v>0.3</v>
      </c>
      <c r="E114" s="248">
        <f t="shared" si="73"/>
        <v>0.3</v>
      </c>
      <c r="F114" s="248">
        <f t="shared" si="73"/>
        <v>0.3</v>
      </c>
      <c r="G114" s="248">
        <f t="shared" si="73"/>
        <v>0.3</v>
      </c>
      <c r="H114" s="248">
        <f t="shared" si="73"/>
        <v>0.3</v>
      </c>
      <c r="I114" s="248">
        <f t="shared" si="73"/>
        <v>0.3</v>
      </c>
      <c r="J114" s="248">
        <f t="shared" si="73"/>
        <v>0.3</v>
      </c>
      <c r="K114" s="248">
        <f t="shared" si="73"/>
        <v>0.3</v>
      </c>
      <c r="L114" s="248">
        <f t="shared" si="73"/>
        <v>0.3</v>
      </c>
      <c r="M114" s="248">
        <f t="shared" si="73"/>
        <v>0.3</v>
      </c>
      <c r="N114" s="248">
        <f t="shared" si="73"/>
        <v>0.3</v>
      </c>
      <c r="O114" s="248">
        <f t="shared" si="73"/>
        <v>0.3</v>
      </c>
      <c r="P114" s="249">
        <f t="shared" si="73"/>
        <v>0.3</v>
      </c>
      <c r="Q114" s="50"/>
      <c r="R114" s="50"/>
      <c r="S114" s="50"/>
      <c r="T114" s="50"/>
      <c r="U114" s="50"/>
      <c r="V114" s="50"/>
      <c r="W114" s="50"/>
      <c r="X114" s="50"/>
      <c r="Y114" s="50"/>
      <c r="Z114" s="50"/>
    </row>
    <row r="115" spans="1:26" ht="15.75" customHeight="1" x14ac:dyDescent="0.35">
      <c r="A115" s="50"/>
      <c r="B115" s="53" t="s">
        <v>156</v>
      </c>
      <c r="C115" s="47" t="s">
        <v>202</v>
      </c>
      <c r="D115" s="248">
        <f t="shared" ref="D115:P115" si="74">$D$28</f>
        <v>0.3</v>
      </c>
      <c r="E115" s="248">
        <f t="shared" si="74"/>
        <v>0.3</v>
      </c>
      <c r="F115" s="248">
        <f t="shared" si="74"/>
        <v>0.3</v>
      </c>
      <c r="G115" s="248">
        <f t="shared" si="74"/>
        <v>0.3</v>
      </c>
      <c r="H115" s="248">
        <f t="shared" si="74"/>
        <v>0.3</v>
      </c>
      <c r="I115" s="248">
        <f t="shared" si="74"/>
        <v>0.3</v>
      </c>
      <c r="J115" s="248">
        <f t="shared" si="74"/>
        <v>0.3</v>
      </c>
      <c r="K115" s="248">
        <f t="shared" si="74"/>
        <v>0.3</v>
      </c>
      <c r="L115" s="248">
        <f t="shared" si="74"/>
        <v>0.3</v>
      </c>
      <c r="M115" s="248">
        <f t="shared" si="74"/>
        <v>0.3</v>
      </c>
      <c r="N115" s="248">
        <f t="shared" si="74"/>
        <v>0.3</v>
      </c>
      <c r="O115" s="248">
        <f t="shared" si="74"/>
        <v>0.3</v>
      </c>
      <c r="P115" s="249">
        <f t="shared" si="74"/>
        <v>0.3</v>
      </c>
      <c r="Q115" s="50"/>
      <c r="R115" s="50"/>
      <c r="S115" s="50"/>
      <c r="T115" s="50"/>
      <c r="U115" s="50"/>
      <c r="V115" s="50"/>
      <c r="W115" s="50"/>
      <c r="X115" s="50"/>
      <c r="Y115" s="50"/>
      <c r="Z115" s="50"/>
    </row>
    <row r="116" spans="1:26" ht="15.75" customHeight="1" x14ac:dyDescent="0.35">
      <c r="A116" s="50"/>
      <c r="B116" s="161" t="s">
        <v>96</v>
      </c>
      <c r="C116" s="47" t="s">
        <v>202</v>
      </c>
      <c r="D116" s="248">
        <f t="shared" ref="D116:P116" si="75">$D$28</f>
        <v>0.3</v>
      </c>
      <c r="E116" s="248">
        <f t="shared" si="75"/>
        <v>0.3</v>
      </c>
      <c r="F116" s="248">
        <f t="shared" si="75"/>
        <v>0.3</v>
      </c>
      <c r="G116" s="248">
        <f t="shared" si="75"/>
        <v>0.3</v>
      </c>
      <c r="H116" s="248">
        <f t="shared" si="75"/>
        <v>0.3</v>
      </c>
      <c r="I116" s="248">
        <f t="shared" si="75"/>
        <v>0.3</v>
      </c>
      <c r="J116" s="248">
        <f t="shared" si="75"/>
        <v>0.3</v>
      </c>
      <c r="K116" s="248">
        <f t="shared" si="75"/>
        <v>0.3</v>
      </c>
      <c r="L116" s="248">
        <f t="shared" si="75"/>
        <v>0.3</v>
      </c>
      <c r="M116" s="248">
        <f t="shared" si="75"/>
        <v>0.3</v>
      </c>
      <c r="N116" s="248">
        <f t="shared" si="75"/>
        <v>0.3</v>
      </c>
      <c r="O116" s="248">
        <f t="shared" si="75"/>
        <v>0.3</v>
      </c>
      <c r="P116" s="249">
        <f t="shared" si="75"/>
        <v>0.3</v>
      </c>
      <c r="Q116" s="50"/>
      <c r="R116" s="50"/>
      <c r="S116" s="50"/>
      <c r="T116" s="50"/>
      <c r="U116" s="50"/>
      <c r="V116" s="50"/>
      <c r="W116" s="50"/>
      <c r="X116" s="50"/>
      <c r="Y116" s="50"/>
      <c r="Z116" s="50"/>
    </row>
    <row r="117" spans="1:26" ht="15.75" customHeight="1" x14ac:dyDescent="0.35">
      <c r="A117" s="50"/>
      <c r="B117" s="53" t="s">
        <v>158</v>
      </c>
      <c r="C117" s="47" t="s">
        <v>202</v>
      </c>
      <c r="D117" s="248">
        <f t="shared" ref="D117:P117" si="76">$D$28</f>
        <v>0.3</v>
      </c>
      <c r="E117" s="248">
        <f t="shared" si="76"/>
        <v>0.3</v>
      </c>
      <c r="F117" s="248">
        <f t="shared" si="76"/>
        <v>0.3</v>
      </c>
      <c r="G117" s="248">
        <f t="shared" si="76"/>
        <v>0.3</v>
      </c>
      <c r="H117" s="248">
        <f t="shared" si="76"/>
        <v>0.3</v>
      </c>
      <c r="I117" s="248">
        <f t="shared" si="76"/>
        <v>0.3</v>
      </c>
      <c r="J117" s="248">
        <f t="shared" si="76"/>
        <v>0.3</v>
      </c>
      <c r="K117" s="248">
        <f t="shared" si="76"/>
        <v>0.3</v>
      </c>
      <c r="L117" s="248">
        <f t="shared" si="76"/>
        <v>0.3</v>
      </c>
      <c r="M117" s="248">
        <f t="shared" si="76"/>
        <v>0.3</v>
      </c>
      <c r="N117" s="248">
        <f t="shared" si="76"/>
        <v>0.3</v>
      </c>
      <c r="O117" s="248">
        <f t="shared" si="76"/>
        <v>0.3</v>
      </c>
      <c r="P117" s="249">
        <f t="shared" si="76"/>
        <v>0.3</v>
      </c>
      <c r="Q117" s="50"/>
      <c r="R117" s="50"/>
      <c r="S117" s="50"/>
      <c r="T117" s="50"/>
      <c r="U117" s="50"/>
      <c r="V117" s="50"/>
      <c r="W117" s="50"/>
      <c r="X117" s="50"/>
      <c r="Y117" s="50"/>
      <c r="Z117" s="50"/>
    </row>
    <row r="118" spans="1:26" ht="15.75" customHeight="1" x14ac:dyDescent="0.35">
      <c r="A118" s="50"/>
      <c r="B118" s="53"/>
      <c r="C118" s="47"/>
      <c r="D118" s="248"/>
      <c r="E118" s="248"/>
      <c r="F118" s="248"/>
      <c r="G118" s="248"/>
      <c r="H118" s="248"/>
      <c r="I118" s="248"/>
      <c r="J118" s="248"/>
      <c r="K118" s="248"/>
      <c r="L118" s="248"/>
      <c r="M118" s="248"/>
      <c r="N118" s="248"/>
      <c r="O118" s="248"/>
      <c r="P118" s="249"/>
      <c r="Q118" s="50"/>
      <c r="R118" s="50"/>
      <c r="S118" s="50"/>
      <c r="T118" s="50"/>
      <c r="U118" s="50"/>
      <c r="V118" s="50"/>
      <c r="W118" s="50"/>
      <c r="X118" s="50"/>
      <c r="Y118" s="50"/>
      <c r="Z118" s="50"/>
    </row>
    <row r="119" spans="1:26" ht="15.75" customHeight="1" x14ac:dyDescent="0.35">
      <c r="A119" s="50"/>
      <c r="B119" s="46" t="s">
        <v>280</v>
      </c>
      <c r="C119" s="194"/>
      <c r="D119" s="245"/>
      <c r="E119" s="245"/>
      <c r="F119" s="245"/>
      <c r="G119" s="245"/>
      <c r="H119" s="245"/>
      <c r="I119" s="245"/>
      <c r="J119" s="245"/>
      <c r="K119" s="245"/>
      <c r="L119" s="245"/>
      <c r="M119" s="245"/>
      <c r="N119" s="245"/>
      <c r="O119" s="245"/>
      <c r="P119" s="250"/>
      <c r="Q119" s="50"/>
      <c r="R119" s="50"/>
      <c r="S119" s="50"/>
      <c r="T119" s="50"/>
      <c r="U119" s="50"/>
      <c r="V119" s="50"/>
      <c r="W119" s="50"/>
      <c r="X119" s="50"/>
      <c r="Y119" s="50"/>
      <c r="Z119" s="50"/>
    </row>
    <row r="120" spans="1:26" ht="15.75" customHeight="1" x14ac:dyDescent="0.35">
      <c r="A120" s="50"/>
      <c r="B120" s="53" t="s">
        <v>145</v>
      </c>
      <c r="C120" s="47"/>
      <c r="D120" s="121">
        <f t="shared" ref="D120:P120" si="77">D88*D104</f>
        <v>33.959999999999994</v>
      </c>
      <c r="E120" s="121">
        <f t="shared" si="77"/>
        <v>33.959999999999994</v>
      </c>
      <c r="F120" s="121">
        <f t="shared" si="77"/>
        <v>33.959999999999994</v>
      </c>
      <c r="G120" s="121">
        <f t="shared" si="77"/>
        <v>35.657999999999994</v>
      </c>
      <c r="H120" s="121">
        <f t="shared" si="77"/>
        <v>37.440899999999992</v>
      </c>
      <c r="I120" s="121">
        <f t="shared" si="77"/>
        <v>39.312944999999999</v>
      </c>
      <c r="J120" s="121">
        <f t="shared" si="77"/>
        <v>41.278592249999996</v>
      </c>
      <c r="K120" s="121">
        <f t="shared" si="77"/>
        <v>43.3425218625</v>
      </c>
      <c r="L120" s="121">
        <f t="shared" si="77"/>
        <v>45.509647955625006</v>
      </c>
      <c r="M120" s="121">
        <f t="shared" si="77"/>
        <v>47.785130353406259</v>
      </c>
      <c r="N120" s="121">
        <f t="shared" si="77"/>
        <v>50.174386871076578</v>
      </c>
      <c r="O120" s="121">
        <f t="shared" si="77"/>
        <v>52.683106214630406</v>
      </c>
      <c r="P120" s="251">
        <f t="shared" si="77"/>
        <v>55.317261525361921</v>
      </c>
      <c r="Q120" s="50"/>
      <c r="R120" s="50"/>
      <c r="S120" s="50"/>
      <c r="T120" s="50"/>
      <c r="U120" s="50"/>
      <c r="V120" s="50"/>
      <c r="W120" s="50"/>
      <c r="X120" s="50"/>
      <c r="Y120" s="50"/>
      <c r="Z120" s="50"/>
    </row>
    <row r="121" spans="1:26" ht="15.75" customHeight="1" x14ac:dyDescent="0.35">
      <c r="A121" s="50"/>
      <c r="B121" s="53" t="s">
        <v>146</v>
      </c>
      <c r="C121" s="47"/>
      <c r="D121" s="121">
        <f t="shared" ref="D121:P121" si="78">D89*D105</f>
        <v>33.959999999999994</v>
      </c>
      <c r="E121" s="121">
        <f t="shared" si="78"/>
        <v>33.959999999999994</v>
      </c>
      <c r="F121" s="121">
        <f t="shared" si="78"/>
        <v>33.959999999999994</v>
      </c>
      <c r="G121" s="121">
        <f t="shared" si="78"/>
        <v>35.657999999999994</v>
      </c>
      <c r="H121" s="121">
        <f t="shared" si="78"/>
        <v>37.440899999999992</v>
      </c>
      <c r="I121" s="121">
        <f t="shared" si="78"/>
        <v>39.312944999999999</v>
      </c>
      <c r="J121" s="121">
        <f t="shared" si="78"/>
        <v>41.278592249999996</v>
      </c>
      <c r="K121" s="121">
        <f t="shared" si="78"/>
        <v>43.3425218625</v>
      </c>
      <c r="L121" s="121">
        <f t="shared" si="78"/>
        <v>45.509647955625006</v>
      </c>
      <c r="M121" s="121">
        <f t="shared" si="78"/>
        <v>47.785130353406259</v>
      </c>
      <c r="N121" s="121">
        <f t="shared" si="78"/>
        <v>50.174386871076578</v>
      </c>
      <c r="O121" s="121">
        <f t="shared" si="78"/>
        <v>52.683106214630406</v>
      </c>
      <c r="P121" s="251">
        <f t="shared" si="78"/>
        <v>55.317261525361921</v>
      </c>
      <c r="Q121" s="50"/>
      <c r="R121" s="50"/>
      <c r="S121" s="50"/>
      <c r="T121" s="50"/>
      <c r="U121" s="50"/>
      <c r="V121" s="50"/>
      <c r="W121" s="50"/>
      <c r="X121" s="50"/>
      <c r="Y121" s="50"/>
      <c r="Z121" s="50"/>
    </row>
    <row r="122" spans="1:26" ht="15.75" customHeight="1" x14ac:dyDescent="0.35">
      <c r="A122" s="50"/>
      <c r="B122" s="53" t="s">
        <v>147</v>
      </c>
      <c r="C122" s="47"/>
      <c r="D122" s="121">
        <f t="shared" ref="D122:P122" si="79">D90*D106</f>
        <v>33.959999999999994</v>
      </c>
      <c r="E122" s="121">
        <f t="shared" si="79"/>
        <v>33.959999999999994</v>
      </c>
      <c r="F122" s="121">
        <f t="shared" si="79"/>
        <v>33.959999999999994</v>
      </c>
      <c r="G122" s="121">
        <f t="shared" si="79"/>
        <v>35.657999999999994</v>
      </c>
      <c r="H122" s="121">
        <f t="shared" si="79"/>
        <v>37.440899999999992</v>
      </c>
      <c r="I122" s="121">
        <f t="shared" si="79"/>
        <v>39.312944999999999</v>
      </c>
      <c r="J122" s="121">
        <f t="shared" si="79"/>
        <v>41.278592249999996</v>
      </c>
      <c r="K122" s="121">
        <f t="shared" si="79"/>
        <v>43.3425218625</v>
      </c>
      <c r="L122" s="121">
        <f t="shared" si="79"/>
        <v>45.509647955625006</v>
      </c>
      <c r="M122" s="121">
        <f t="shared" si="79"/>
        <v>47.785130353406259</v>
      </c>
      <c r="N122" s="121">
        <f t="shared" si="79"/>
        <v>50.174386871076578</v>
      </c>
      <c r="O122" s="121">
        <f t="shared" si="79"/>
        <v>52.683106214630406</v>
      </c>
      <c r="P122" s="251">
        <f t="shared" si="79"/>
        <v>55.317261525361921</v>
      </c>
      <c r="Q122" s="50"/>
      <c r="R122" s="50"/>
      <c r="S122" s="50"/>
      <c r="T122" s="50"/>
      <c r="U122" s="50"/>
      <c r="V122" s="50"/>
      <c r="W122" s="50"/>
      <c r="X122" s="50"/>
      <c r="Y122" s="50"/>
      <c r="Z122" s="50"/>
    </row>
    <row r="123" spans="1:26" ht="15.75" customHeight="1" x14ac:dyDescent="0.35">
      <c r="A123" s="50"/>
      <c r="B123" s="53" t="s">
        <v>148</v>
      </c>
      <c r="C123" s="47"/>
      <c r="D123" s="121">
        <f t="shared" ref="D123:P123" si="80">D91*D107</f>
        <v>33.959999999999994</v>
      </c>
      <c r="E123" s="121">
        <f t="shared" si="80"/>
        <v>33.959999999999994</v>
      </c>
      <c r="F123" s="121">
        <f t="shared" si="80"/>
        <v>33.959999999999994</v>
      </c>
      <c r="G123" s="121">
        <f t="shared" si="80"/>
        <v>35.657999999999994</v>
      </c>
      <c r="H123" s="121">
        <f t="shared" si="80"/>
        <v>37.440899999999992</v>
      </c>
      <c r="I123" s="121">
        <f t="shared" si="80"/>
        <v>39.312944999999999</v>
      </c>
      <c r="J123" s="121">
        <f t="shared" si="80"/>
        <v>41.278592249999996</v>
      </c>
      <c r="K123" s="121">
        <f t="shared" si="80"/>
        <v>43.3425218625</v>
      </c>
      <c r="L123" s="121">
        <f t="shared" si="80"/>
        <v>45.509647955625006</v>
      </c>
      <c r="M123" s="121">
        <f t="shared" si="80"/>
        <v>47.785130353406259</v>
      </c>
      <c r="N123" s="121">
        <f t="shared" si="80"/>
        <v>50.174386871076578</v>
      </c>
      <c r="O123" s="121">
        <f t="shared" si="80"/>
        <v>52.683106214630406</v>
      </c>
      <c r="P123" s="251">
        <f t="shared" si="80"/>
        <v>55.317261525361921</v>
      </c>
      <c r="Q123" s="50"/>
      <c r="R123" s="50"/>
      <c r="S123" s="50"/>
      <c r="T123" s="50"/>
      <c r="U123" s="50"/>
      <c r="V123" s="50"/>
      <c r="W123" s="50"/>
      <c r="X123" s="50"/>
      <c r="Y123" s="50"/>
      <c r="Z123" s="50"/>
    </row>
    <row r="124" spans="1:26" ht="15.75" customHeight="1" x14ac:dyDescent="0.35">
      <c r="A124" s="50"/>
      <c r="B124" s="53" t="s">
        <v>149</v>
      </c>
      <c r="C124" s="47"/>
      <c r="D124" s="121">
        <f t="shared" ref="D124:P124" si="81">D92*D108</f>
        <v>33.959999999999994</v>
      </c>
      <c r="E124" s="121">
        <f t="shared" si="81"/>
        <v>33.959999999999994</v>
      </c>
      <c r="F124" s="121">
        <f t="shared" si="81"/>
        <v>33.959999999999994</v>
      </c>
      <c r="G124" s="121">
        <f t="shared" si="81"/>
        <v>35.657999999999994</v>
      </c>
      <c r="H124" s="121">
        <f t="shared" si="81"/>
        <v>37.440899999999992</v>
      </c>
      <c r="I124" s="121">
        <f t="shared" si="81"/>
        <v>39.312944999999999</v>
      </c>
      <c r="J124" s="121">
        <f t="shared" si="81"/>
        <v>41.278592249999996</v>
      </c>
      <c r="K124" s="121">
        <f t="shared" si="81"/>
        <v>43.3425218625</v>
      </c>
      <c r="L124" s="121">
        <f t="shared" si="81"/>
        <v>45.509647955625006</v>
      </c>
      <c r="M124" s="121">
        <f t="shared" si="81"/>
        <v>47.785130353406259</v>
      </c>
      <c r="N124" s="121">
        <f t="shared" si="81"/>
        <v>50.174386871076578</v>
      </c>
      <c r="O124" s="121">
        <f t="shared" si="81"/>
        <v>52.683106214630406</v>
      </c>
      <c r="P124" s="251">
        <f t="shared" si="81"/>
        <v>55.317261525361921</v>
      </c>
      <c r="Q124" s="50"/>
      <c r="R124" s="50"/>
      <c r="S124" s="50"/>
      <c r="T124" s="50"/>
      <c r="U124" s="50"/>
      <c r="V124" s="50"/>
      <c r="W124" s="50"/>
      <c r="X124" s="50"/>
      <c r="Y124" s="50"/>
      <c r="Z124" s="50"/>
    </row>
    <row r="125" spans="1:26" ht="15.75" customHeight="1" x14ac:dyDescent="0.35">
      <c r="A125" s="50"/>
      <c r="B125" s="53" t="s">
        <v>198</v>
      </c>
      <c r="C125" s="47"/>
      <c r="D125" s="121">
        <f t="shared" ref="D125:P125" si="82">D93*D109</f>
        <v>33.959999999999994</v>
      </c>
      <c r="E125" s="121">
        <f t="shared" si="82"/>
        <v>33.959999999999994</v>
      </c>
      <c r="F125" s="121">
        <f t="shared" si="82"/>
        <v>33.959999999999994</v>
      </c>
      <c r="G125" s="121">
        <f t="shared" si="82"/>
        <v>35.657999999999994</v>
      </c>
      <c r="H125" s="121">
        <f t="shared" si="82"/>
        <v>37.440899999999992</v>
      </c>
      <c r="I125" s="121">
        <f t="shared" si="82"/>
        <v>39.312944999999999</v>
      </c>
      <c r="J125" s="121">
        <f t="shared" si="82"/>
        <v>41.278592249999996</v>
      </c>
      <c r="K125" s="121">
        <f t="shared" si="82"/>
        <v>43.3425218625</v>
      </c>
      <c r="L125" s="121">
        <f t="shared" si="82"/>
        <v>45.509647955625006</v>
      </c>
      <c r="M125" s="121">
        <f t="shared" si="82"/>
        <v>47.785130353406259</v>
      </c>
      <c r="N125" s="121">
        <f t="shared" si="82"/>
        <v>50.174386871076578</v>
      </c>
      <c r="O125" s="121">
        <f t="shared" si="82"/>
        <v>52.683106214630406</v>
      </c>
      <c r="P125" s="251">
        <f t="shared" si="82"/>
        <v>55.317261525361921</v>
      </c>
      <c r="Q125" s="50"/>
      <c r="R125" s="50"/>
      <c r="S125" s="50"/>
      <c r="T125" s="50"/>
      <c r="U125" s="50"/>
      <c r="V125" s="50"/>
      <c r="W125" s="50"/>
      <c r="X125" s="50"/>
      <c r="Y125" s="50"/>
      <c r="Z125" s="50"/>
    </row>
    <row r="126" spans="1:26" ht="15.75" customHeight="1" x14ac:dyDescent="0.35">
      <c r="A126" s="50"/>
      <c r="B126" s="53" t="s">
        <v>199</v>
      </c>
      <c r="C126" s="47"/>
      <c r="D126" s="121">
        <f t="shared" ref="D126:P126" si="83">D94*D110</f>
        <v>33.959999999999994</v>
      </c>
      <c r="E126" s="121">
        <f t="shared" si="83"/>
        <v>33.959999999999994</v>
      </c>
      <c r="F126" s="121">
        <f t="shared" si="83"/>
        <v>33.959999999999994</v>
      </c>
      <c r="G126" s="121">
        <f t="shared" si="83"/>
        <v>35.657999999999994</v>
      </c>
      <c r="H126" s="121">
        <f t="shared" si="83"/>
        <v>37.440899999999992</v>
      </c>
      <c r="I126" s="121">
        <f t="shared" si="83"/>
        <v>39.312944999999999</v>
      </c>
      <c r="J126" s="121">
        <f t="shared" si="83"/>
        <v>41.278592249999996</v>
      </c>
      <c r="K126" s="121">
        <f t="shared" si="83"/>
        <v>43.3425218625</v>
      </c>
      <c r="L126" s="121">
        <f t="shared" si="83"/>
        <v>45.509647955625006</v>
      </c>
      <c r="M126" s="121">
        <f t="shared" si="83"/>
        <v>47.785130353406259</v>
      </c>
      <c r="N126" s="121">
        <f t="shared" si="83"/>
        <v>50.174386871076578</v>
      </c>
      <c r="O126" s="121">
        <f t="shared" si="83"/>
        <v>52.683106214630406</v>
      </c>
      <c r="P126" s="251">
        <f t="shared" si="83"/>
        <v>55.317261525361921</v>
      </c>
      <c r="Q126" s="50"/>
      <c r="R126" s="50"/>
      <c r="S126" s="50"/>
      <c r="T126" s="50"/>
      <c r="U126" s="50"/>
      <c r="V126" s="50"/>
      <c r="W126" s="50"/>
      <c r="X126" s="50"/>
      <c r="Y126" s="50"/>
      <c r="Z126" s="50"/>
    </row>
    <row r="127" spans="1:26" ht="15.75" customHeight="1" x14ac:dyDescent="0.35">
      <c r="A127" s="50"/>
      <c r="B127" s="53" t="s">
        <v>152</v>
      </c>
      <c r="C127" s="47"/>
      <c r="D127" s="121">
        <f t="shared" ref="D127:P127" si="84">D95*D111</f>
        <v>33.959999999999994</v>
      </c>
      <c r="E127" s="121">
        <f t="shared" si="84"/>
        <v>33.959999999999994</v>
      </c>
      <c r="F127" s="121">
        <f t="shared" si="84"/>
        <v>33.959999999999994</v>
      </c>
      <c r="G127" s="121">
        <f t="shared" si="84"/>
        <v>35.657999999999994</v>
      </c>
      <c r="H127" s="121">
        <f t="shared" si="84"/>
        <v>37.440899999999992</v>
      </c>
      <c r="I127" s="121">
        <f t="shared" si="84"/>
        <v>39.312944999999999</v>
      </c>
      <c r="J127" s="121">
        <f t="shared" si="84"/>
        <v>41.278592249999996</v>
      </c>
      <c r="K127" s="121">
        <f t="shared" si="84"/>
        <v>43.3425218625</v>
      </c>
      <c r="L127" s="121">
        <f t="shared" si="84"/>
        <v>45.509647955625006</v>
      </c>
      <c r="M127" s="121">
        <f t="shared" si="84"/>
        <v>47.785130353406259</v>
      </c>
      <c r="N127" s="121">
        <f t="shared" si="84"/>
        <v>50.174386871076578</v>
      </c>
      <c r="O127" s="121">
        <f t="shared" si="84"/>
        <v>52.683106214630406</v>
      </c>
      <c r="P127" s="251">
        <f t="shared" si="84"/>
        <v>55.317261525361921</v>
      </c>
      <c r="Q127" s="50"/>
      <c r="R127" s="50"/>
      <c r="S127" s="50"/>
      <c r="T127" s="50"/>
      <c r="U127" s="50"/>
      <c r="V127" s="50"/>
      <c r="W127" s="50"/>
      <c r="X127" s="50"/>
      <c r="Y127" s="50"/>
      <c r="Z127" s="50"/>
    </row>
    <row r="128" spans="1:26" ht="15.75" customHeight="1" x14ac:dyDescent="0.35">
      <c r="A128" s="50"/>
      <c r="B128" s="53" t="s">
        <v>153</v>
      </c>
      <c r="C128" s="47"/>
      <c r="D128" s="121">
        <f t="shared" ref="D128:P128" si="85">D96*D112</f>
        <v>33.959999999999994</v>
      </c>
      <c r="E128" s="121">
        <f t="shared" si="85"/>
        <v>33.959999999999994</v>
      </c>
      <c r="F128" s="121">
        <f t="shared" si="85"/>
        <v>33.959999999999994</v>
      </c>
      <c r="G128" s="121">
        <f t="shared" si="85"/>
        <v>35.657999999999994</v>
      </c>
      <c r="H128" s="121">
        <f t="shared" si="85"/>
        <v>37.440899999999992</v>
      </c>
      <c r="I128" s="121">
        <f t="shared" si="85"/>
        <v>39.312944999999999</v>
      </c>
      <c r="J128" s="121">
        <f t="shared" si="85"/>
        <v>41.278592249999996</v>
      </c>
      <c r="K128" s="121">
        <f t="shared" si="85"/>
        <v>43.3425218625</v>
      </c>
      <c r="L128" s="121">
        <f t="shared" si="85"/>
        <v>45.509647955625006</v>
      </c>
      <c r="M128" s="121">
        <f t="shared" si="85"/>
        <v>47.785130353406259</v>
      </c>
      <c r="N128" s="121">
        <f t="shared" si="85"/>
        <v>50.174386871076578</v>
      </c>
      <c r="O128" s="121">
        <f t="shared" si="85"/>
        <v>52.683106214630406</v>
      </c>
      <c r="P128" s="251">
        <f t="shared" si="85"/>
        <v>55.317261525361921</v>
      </c>
      <c r="Q128" s="50"/>
      <c r="R128" s="50"/>
      <c r="S128" s="50"/>
      <c r="T128" s="50"/>
      <c r="U128" s="50"/>
      <c r="V128" s="50"/>
      <c r="W128" s="50"/>
      <c r="X128" s="50"/>
      <c r="Y128" s="50"/>
      <c r="Z128" s="50"/>
    </row>
    <row r="129" spans="1:26" ht="15.75" customHeight="1" x14ac:dyDescent="0.35">
      <c r="A129" s="50"/>
      <c r="B129" s="53" t="s">
        <v>154</v>
      </c>
      <c r="C129" s="47"/>
      <c r="D129" s="121">
        <f t="shared" ref="D129:P129" si="86">D97*D113</f>
        <v>33.959999999999994</v>
      </c>
      <c r="E129" s="121">
        <f t="shared" si="86"/>
        <v>33.959999999999994</v>
      </c>
      <c r="F129" s="121">
        <f t="shared" si="86"/>
        <v>33.959999999999994</v>
      </c>
      <c r="G129" s="121">
        <f t="shared" si="86"/>
        <v>35.657999999999994</v>
      </c>
      <c r="H129" s="121">
        <f t="shared" si="86"/>
        <v>37.440899999999992</v>
      </c>
      <c r="I129" s="121">
        <f t="shared" si="86"/>
        <v>39.312944999999999</v>
      </c>
      <c r="J129" s="121">
        <f t="shared" si="86"/>
        <v>41.278592249999996</v>
      </c>
      <c r="K129" s="121">
        <f t="shared" si="86"/>
        <v>43.3425218625</v>
      </c>
      <c r="L129" s="121">
        <f t="shared" si="86"/>
        <v>45.509647955625006</v>
      </c>
      <c r="M129" s="121">
        <f t="shared" si="86"/>
        <v>47.785130353406259</v>
      </c>
      <c r="N129" s="121">
        <f t="shared" si="86"/>
        <v>50.174386871076578</v>
      </c>
      <c r="O129" s="121">
        <f t="shared" si="86"/>
        <v>52.683106214630406</v>
      </c>
      <c r="P129" s="251">
        <f t="shared" si="86"/>
        <v>55.317261525361921</v>
      </c>
      <c r="Q129" s="50"/>
      <c r="R129" s="50"/>
      <c r="S129" s="50"/>
      <c r="T129" s="50"/>
      <c r="U129" s="50"/>
      <c r="V129" s="50"/>
      <c r="W129" s="50"/>
      <c r="X129" s="50"/>
      <c r="Y129" s="50"/>
      <c r="Z129" s="50"/>
    </row>
    <row r="130" spans="1:26" ht="15.75" customHeight="1" x14ac:dyDescent="0.35">
      <c r="A130" s="50"/>
      <c r="B130" s="53" t="s">
        <v>155</v>
      </c>
      <c r="C130" s="47"/>
      <c r="D130" s="121">
        <f t="shared" ref="D130:P130" si="87">D98*D114</f>
        <v>33.959999999999994</v>
      </c>
      <c r="E130" s="121">
        <f t="shared" si="87"/>
        <v>33.959999999999994</v>
      </c>
      <c r="F130" s="121">
        <f t="shared" si="87"/>
        <v>33.959999999999994</v>
      </c>
      <c r="G130" s="121">
        <f t="shared" si="87"/>
        <v>35.657999999999994</v>
      </c>
      <c r="H130" s="121">
        <f t="shared" si="87"/>
        <v>37.440899999999992</v>
      </c>
      <c r="I130" s="121">
        <f t="shared" si="87"/>
        <v>39.312944999999999</v>
      </c>
      <c r="J130" s="121">
        <f t="shared" si="87"/>
        <v>41.278592249999996</v>
      </c>
      <c r="K130" s="121">
        <f t="shared" si="87"/>
        <v>43.3425218625</v>
      </c>
      <c r="L130" s="121">
        <f t="shared" si="87"/>
        <v>45.509647955625006</v>
      </c>
      <c r="M130" s="121">
        <f t="shared" si="87"/>
        <v>47.785130353406259</v>
      </c>
      <c r="N130" s="121">
        <f t="shared" si="87"/>
        <v>50.174386871076578</v>
      </c>
      <c r="O130" s="121">
        <f t="shared" si="87"/>
        <v>52.683106214630406</v>
      </c>
      <c r="P130" s="251">
        <f t="shared" si="87"/>
        <v>55.317261525361921</v>
      </c>
      <c r="Q130" s="50"/>
      <c r="R130" s="50"/>
      <c r="S130" s="50"/>
      <c r="T130" s="50"/>
      <c r="U130" s="50"/>
      <c r="V130" s="50"/>
      <c r="W130" s="50"/>
      <c r="X130" s="50"/>
      <c r="Y130" s="50"/>
      <c r="Z130" s="50"/>
    </row>
    <row r="131" spans="1:26" ht="15.75" customHeight="1" x14ac:dyDescent="0.35">
      <c r="A131" s="50"/>
      <c r="B131" s="53" t="s">
        <v>156</v>
      </c>
      <c r="C131" s="47"/>
      <c r="D131" s="121">
        <f t="shared" ref="D131:P131" si="88">D99*D115</f>
        <v>33.959999999999994</v>
      </c>
      <c r="E131" s="121">
        <f t="shared" si="88"/>
        <v>33.959999999999994</v>
      </c>
      <c r="F131" s="121">
        <f t="shared" si="88"/>
        <v>33.959999999999994</v>
      </c>
      <c r="G131" s="121">
        <f t="shared" si="88"/>
        <v>35.657999999999994</v>
      </c>
      <c r="H131" s="121">
        <f t="shared" si="88"/>
        <v>37.440899999999992</v>
      </c>
      <c r="I131" s="121">
        <f t="shared" si="88"/>
        <v>39.312944999999999</v>
      </c>
      <c r="J131" s="121">
        <f t="shared" si="88"/>
        <v>41.278592249999996</v>
      </c>
      <c r="K131" s="121">
        <f t="shared" si="88"/>
        <v>43.3425218625</v>
      </c>
      <c r="L131" s="121">
        <f t="shared" si="88"/>
        <v>45.509647955625006</v>
      </c>
      <c r="M131" s="121">
        <f t="shared" si="88"/>
        <v>47.785130353406259</v>
      </c>
      <c r="N131" s="121">
        <f t="shared" si="88"/>
        <v>50.174386871076578</v>
      </c>
      <c r="O131" s="121">
        <f t="shared" si="88"/>
        <v>52.683106214630406</v>
      </c>
      <c r="P131" s="251">
        <f t="shared" si="88"/>
        <v>55.317261525361921</v>
      </c>
      <c r="Q131" s="50"/>
      <c r="R131" s="50"/>
      <c r="S131" s="50"/>
      <c r="T131" s="50"/>
      <c r="U131" s="50"/>
      <c r="V131" s="50"/>
      <c r="W131" s="50"/>
      <c r="X131" s="50"/>
      <c r="Y131" s="50"/>
      <c r="Z131" s="50"/>
    </row>
    <row r="132" spans="1:26" ht="15.75" customHeight="1" x14ac:dyDescent="0.35">
      <c r="A132" s="50"/>
      <c r="B132" s="161" t="s">
        <v>96</v>
      </c>
      <c r="C132" s="47"/>
      <c r="D132" s="121">
        <f t="shared" ref="D132:P132" si="89">D100*D116</f>
        <v>33.959999999999994</v>
      </c>
      <c r="E132" s="121">
        <f t="shared" si="89"/>
        <v>33.959999999999994</v>
      </c>
      <c r="F132" s="121">
        <f t="shared" si="89"/>
        <v>33.959999999999994</v>
      </c>
      <c r="G132" s="121">
        <f t="shared" si="89"/>
        <v>35.657999999999994</v>
      </c>
      <c r="H132" s="121">
        <f t="shared" si="89"/>
        <v>37.440899999999992</v>
      </c>
      <c r="I132" s="121">
        <f t="shared" si="89"/>
        <v>39.312944999999999</v>
      </c>
      <c r="J132" s="121">
        <f t="shared" si="89"/>
        <v>41.278592249999996</v>
      </c>
      <c r="K132" s="121">
        <f t="shared" si="89"/>
        <v>43.3425218625</v>
      </c>
      <c r="L132" s="121">
        <f t="shared" si="89"/>
        <v>45.509647955625006</v>
      </c>
      <c r="M132" s="121">
        <f t="shared" si="89"/>
        <v>47.785130353406259</v>
      </c>
      <c r="N132" s="121">
        <f t="shared" si="89"/>
        <v>50.174386871076578</v>
      </c>
      <c r="O132" s="121">
        <f t="shared" si="89"/>
        <v>52.683106214630406</v>
      </c>
      <c r="P132" s="251">
        <f t="shared" si="89"/>
        <v>55.317261525361921</v>
      </c>
      <c r="Q132" s="50"/>
      <c r="R132" s="50"/>
      <c r="S132" s="50"/>
      <c r="T132" s="50"/>
      <c r="U132" s="50"/>
      <c r="V132" s="50"/>
      <c r="W132" s="50"/>
      <c r="X132" s="50"/>
      <c r="Y132" s="50"/>
      <c r="Z132" s="50"/>
    </row>
    <row r="133" spans="1:26" ht="15.75" customHeight="1" x14ac:dyDescent="0.35">
      <c r="A133" s="50"/>
      <c r="B133" s="53" t="s">
        <v>158</v>
      </c>
      <c r="C133" s="47"/>
      <c r="D133" s="121">
        <f t="shared" ref="D133:P133" si="90">D101*D117</f>
        <v>33.959999999999994</v>
      </c>
      <c r="E133" s="121">
        <f t="shared" si="90"/>
        <v>33.959999999999994</v>
      </c>
      <c r="F133" s="121">
        <f t="shared" si="90"/>
        <v>33.959999999999994</v>
      </c>
      <c r="G133" s="121">
        <f t="shared" si="90"/>
        <v>35.657999999999994</v>
      </c>
      <c r="H133" s="121">
        <f t="shared" si="90"/>
        <v>37.440899999999992</v>
      </c>
      <c r="I133" s="121">
        <f t="shared" si="90"/>
        <v>39.312944999999999</v>
      </c>
      <c r="J133" s="121">
        <f t="shared" si="90"/>
        <v>41.278592249999996</v>
      </c>
      <c r="K133" s="121">
        <f t="shared" si="90"/>
        <v>43.3425218625</v>
      </c>
      <c r="L133" s="121">
        <f t="shared" si="90"/>
        <v>45.509647955625006</v>
      </c>
      <c r="M133" s="121">
        <f t="shared" si="90"/>
        <v>47.785130353406259</v>
      </c>
      <c r="N133" s="121">
        <f t="shared" si="90"/>
        <v>50.174386871076578</v>
      </c>
      <c r="O133" s="121">
        <f t="shared" si="90"/>
        <v>52.683106214630406</v>
      </c>
      <c r="P133" s="251">
        <f t="shared" si="90"/>
        <v>55.317261525361921</v>
      </c>
      <c r="Q133" s="50"/>
      <c r="R133" s="50"/>
      <c r="S133" s="50"/>
      <c r="T133" s="50"/>
      <c r="U133" s="50"/>
      <c r="V133" s="50"/>
      <c r="W133" s="50"/>
      <c r="X133" s="50"/>
      <c r="Y133" s="50"/>
      <c r="Z133" s="50"/>
    </row>
    <row r="134" spans="1:26" ht="15.75" customHeight="1" x14ac:dyDescent="0.35">
      <c r="A134" s="237"/>
      <c r="B134" s="238" t="s">
        <v>65</v>
      </c>
      <c r="C134" s="239"/>
      <c r="D134" s="252">
        <f t="shared" ref="D134:P134" si="91">SUM(D120:D133)</f>
        <v>475.43999999999977</v>
      </c>
      <c r="E134" s="252">
        <f t="shared" si="91"/>
        <v>475.43999999999977</v>
      </c>
      <c r="F134" s="252">
        <f t="shared" si="91"/>
        <v>475.43999999999977</v>
      </c>
      <c r="G134" s="252">
        <f t="shared" si="91"/>
        <v>499.21200000000005</v>
      </c>
      <c r="H134" s="252">
        <f t="shared" si="91"/>
        <v>524.17259999999987</v>
      </c>
      <c r="I134" s="252">
        <f t="shared" si="91"/>
        <v>550.38123000000007</v>
      </c>
      <c r="J134" s="252">
        <f t="shared" si="91"/>
        <v>577.90029149999987</v>
      </c>
      <c r="K134" s="252">
        <f t="shared" si="91"/>
        <v>606.79530607499998</v>
      </c>
      <c r="L134" s="252">
        <f t="shared" si="91"/>
        <v>637.13507137875001</v>
      </c>
      <c r="M134" s="252">
        <f t="shared" si="91"/>
        <v>668.99182494768752</v>
      </c>
      <c r="N134" s="252">
        <f t="shared" si="91"/>
        <v>702.44141619507207</v>
      </c>
      <c r="O134" s="252">
        <f t="shared" si="91"/>
        <v>737.56348700482545</v>
      </c>
      <c r="P134" s="253">
        <f t="shared" si="91"/>
        <v>774.44166135506691</v>
      </c>
      <c r="Q134" s="237"/>
      <c r="R134" s="237"/>
      <c r="S134" s="237"/>
      <c r="T134" s="237"/>
      <c r="U134" s="237"/>
      <c r="V134" s="237"/>
      <c r="W134" s="237"/>
      <c r="X134" s="237"/>
      <c r="Y134" s="237"/>
      <c r="Z134" s="237"/>
    </row>
    <row r="135" spans="1:26" ht="15.75" customHeight="1" x14ac:dyDescent="0.35">
      <c r="A135" s="50"/>
      <c r="B135" s="277" t="s">
        <v>137</v>
      </c>
      <c r="C135" s="278" t="s">
        <v>138</v>
      </c>
      <c r="D135" s="279">
        <f t="array" ref="D135">NPV(D35,D134:P134)</f>
        <v>5401.7705215419483</v>
      </c>
      <c r="E135" s="134"/>
      <c r="F135" s="134"/>
      <c r="G135" s="134"/>
      <c r="H135" s="134"/>
      <c r="I135" s="134"/>
      <c r="J135" s="134"/>
      <c r="K135" s="134"/>
      <c r="L135" s="134"/>
      <c r="M135" s="134"/>
      <c r="N135" s="134"/>
      <c r="O135" s="134"/>
      <c r="P135" s="136"/>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35" t="s">
        <v>55</v>
      </c>
      <c r="C137" s="36"/>
      <c r="D137" s="565" t="s">
        <v>129</v>
      </c>
      <c r="E137" s="552"/>
      <c r="F137" s="553"/>
      <c r="G137" s="112" t="s">
        <v>130</v>
      </c>
      <c r="H137" s="38" t="e">
        <f t="shared" ref="H137:P137" si="92">+G137+1</f>
        <v>#VALUE!</v>
      </c>
      <c r="I137" s="38" t="e">
        <f t="shared" si="92"/>
        <v>#VALUE!</v>
      </c>
      <c r="J137" s="38" t="e">
        <f t="shared" si="92"/>
        <v>#VALUE!</v>
      </c>
      <c r="K137" s="38" t="e">
        <f t="shared" si="92"/>
        <v>#VALUE!</v>
      </c>
      <c r="L137" s="38" t="e">
        <f t="shared" si="92"/>
        <v>#VALUE!</v>
      </c>
      <c r="M137" s="38" t="e">
        <f t="shared" si="92"/>
        <v>#VALUE!</v>
      </c>
      <c r="N137" s="38" t="e">
        <f t="shared" si="92"/>
        <v>#VALUE!</v>
      </c>
      <c r="O137" s="38" t="e">
        <f t="shared" si="92"/>
        <v>#VALUE!</v>
      </c>
      <c r="P137" s="39" t="e">
        <f t="shared" si="92"/>
        <v>#VALUE!</v>
      </c>
      <c r="Q137" s="50"/>
      <c r="R137" s="50"/>
      <c r="S137" s="50"/>
      <c r="T137" s="50"/>
      <c r="U137" s="50"/>
      <c r="V137" s="50"/>
      <c r="W137" s="50"/>
      <c r="X137" s="50"/>
      <c r="Y137" s="50"/>
      <c r="Z137" s="50"/>
    </row>
    <row r="138" spans="1:26" ht="15.75" customHeight="1" x14ac:dyDescent="0.35">
      <c r="A138" s="50"/>
      <c r="B138" s="40"/>
      <c r="C138" s="41"/>
      <c r="D138" s="43">
        <f>D38</f>
        <v>1</v>
      </c>
      <c r="E138" s="43">
        <f>+D138+1</f>
        <v>2</v>
      </c>
      <c r="F138" s="43">
        <f t="shared" ref="F138:P138" si="93">E138+1</f>
        <v>3</v>
      </c>
      <c r="G138" s="43">
        <f t="shared" si="93"/>
        <v>4</v>
      </c>
      <c r="H138" s="43">
        <f t="shared" si="93"/>
        <v>5</v>
      </c>
      <c r="I138" s="43">
        <f t="shared" si="93"/>
        <v>6</v>
      </c>
      <c r="J138" s="43">
        <f t="shared" si="93"/>
        <v>7</v>
      </c>
      <c r="K138" s="43">
        <f t="shared" si="93"/>
        <v>8</v>
      </c>
      <c r="L138" s="43">
        <f t="shared" si="93"/>
        <v>9</v>
      </c>
      <c r="M138" s="43">
        <f t="shared" si="93"/>
        <v>10</v>
      </c>
      <c r="N138" s="43">
        <f t="shared" si="93"/>
        <v>11</v>
      </c>
      <c r="O138" s="43">
        <f t="shared" si="93"/>
        <v>12</v>
      </c>
      <c r="P138" s="114">
        <f t="shared" si="93"/>
        <v>13</v>
      </c>
      <c r="Q138" s="50"/>
      <c r="R138" s="50"/>
      <c r="S138" s="50"/>
      <c r="T138" s="50"/>
      <c r="U138" s="50"/>
      <c r="V138" s="50"/>
      <c r="W138" s="50"/>
      <c r="X138" s="50"/>
      <c r="Y138" s="50"/>
      <c r="Z138" s="50"/>
    </row>
    <row r="139" spans="1:26" ht="15.75" customHeight="1" x14ac:dyDescent="0.35">
      <c r="A139" s="50"/>
      <c r="B139" s="46" t="s">
        <v>312</v>
      </c>
      <c r="C139" s="65"/>
      <c r="D139" s="123"/>
      <c r="E139" s="123"/>
      <c r="F139" s="123"/>
      <c r="G139" s="50"/>
      <c r="H139" s="50"/>
      <c r="I139" s="50"/>
      <c r="J139" s="50"/>
      <c r="K139" s="50"/>
      <c r="L139" s="50"/>
      <c r="M139" s="50"/>
      <c r="N139" s="50"/>
      <c r="O139" s="50"/>
      <c r="P139" s="115"/>
      <c r="Q139" s="50"/>
      <c r="R139" s="50"/>
      <c r="S139" s="50"/>
      <c r="T139" s="50"/>
      <c r="U139" s="50"/>
      <c r="V139" s="50"/>
      <c r="W139" s="50"/>
      <c r="X139" s="50"/>
      <c r="Y139" s="50"/>
      <c r="Z139" s="50"/>
    </row>
    <row r="140" spans="1:26" ht="15.75" customHeight="1" x14ac:dyDescent="0.35">
      <c r="A140" s="50"/>
      <c r="B140" s="53" t="s">
        <v>145</v>
      </c>
      <c r="C140" s="54" t="s">
        <v>94</v>
      </c>
      <c r="D140" s="120">
        <f t="shared" ref="D140:P140" si="94">D72</f>
        <v>100</v>
      </c>
      <c r="E140" s="120">
        <f t="shared" si="94"/>
        <v>100</v>
      </c>
      <c r="F140" s="120">
        <f t="shared" si="94"/>
        <v>100</v>
      </c>
      <c r="G140" s="120">
        <f t="shared" si="94"/>
        <v>105</v>
      </c>
      <c r="H140" s="120">
        <f t="shared" si="94"/>
        <v>110.25</v>
      </c>
      <c r="I140" s="120">
        <f t="shared" si="94"/>
        <v>115.7625</v>
      </c>
      <c r="J140" s="120">
        <f t="shared" si="94"/>
        <v>121.55062500000001</v>
      </c>
      <c r="K140" s="120">
        <f t="shared" si="94"/>
        <v>127.62815625000002</v>
      </c>
      <c r="L140" s="120">
        <f t="shared" si="94"/>
        <v>134.00956406250003</v>
      </c>
      <c r="M140" s="120">
        <f t="shared" si="94"/>
        <v>140.71004226562505</v>
      </c>
      <c r="N140" s="120">
        <f t="shared" si="94"/>
        <v>147.74554437890632</v>
      </c>
      <c r="O140" s="120">
        <f t="shared" si="94"/>
        <v>155.13282159785163</v>
      </c>
      <c r="P140" s="124">
        <f t="shared" si="94"/>
        <v>162.88946267774421</v>
      </c>
      <c r="Q140" s="50"/>
      <c r="R140" s="50"/>
      <c r="S140" s="50"/>
      <c r="T140" s="50"/>
      <c r="U140" s="50"/>
      <c r="V140" s="50"/>
      <c r="W140" s="50"/>
      <c r="X140" s="50"/>
      <c r="Y140" s="50"/>
      <c r="Z140" s="50"/>
    </row>
    <row r="141" spans="1:26" ht="15.75" customHeight="1" x14ac:dyDescent="0.35">
      <c r="A141" s="50"/>
      <c r="B141" s="53" t="s">
        <v>146</v>
      </c>
      <c r="C141" s="54" t="s">
        <v>94</v>
      </c>
      <c r="D141" s="120">
        <f t="shared" ref="D141:P141" si="95">D73</f>
        <v>100</v>
      </c>
      <c r="E141" s="120">
        <f t="shared" si="95"/>
        <v>100</v>
      </c>
      <c r="F141" s="120">
        <f t="shared" si="95"/>
        <v>100</v>
      </c>
      <c r="G141" s="120">
        <f t="shared" si="95"/>
        <v>105</v>
      </c>
      <c r="H141" s="120">
        <f t="shared" si="95"/>
        <v>110.25</v>
      </c>
      <c r="I141" s="120">
        <f t="shared" si="95"/>
        <v>115.7625</v>
      </c>
      <c r="J141" s="120">
        <f t="shared" si="95"/>
        <v>121.55062500000001</v>
      </c>
      <c r="K141" s="120">
        <f t="shared" si="95"/>
        <v>127.62815625000002</v>
      </c>
      <c r="L141" s="120">
        <f t="shared" si="95"/>
        <v>134.00956406250003</v>
      </c>
      <c r="M141" s="120">
        <f t="shared" si="95"/>
        <v>140.71004226562505</v>
      </c>
      <c r="N141" s="120">
        <f t="shared" si="95"/>
        <v>147.74554437890632</v>
      </c>
      <c r="O141" s="120">
        <f t="shared" si="95"/>
        <v>155.13282159785163</v>
      </c>
      <c r="P141" s="124">
        <f t="shared" si="95"/>
        <v>162.88946267774421</v>
      </c>
      <c r="Q141" s="50"/>
      <c r="R141" s="50"/>
      <c r="S141" s="50"/>
      <c r="T141" s="50"/>
      <c r="U141" s="50"/>
      <c r="V141" s="50"/>
      <c r="W141" s="50"/>
      <c r="X141" s="50"/>
      <c r="Y141" s="50"/>
      <c r="Z141" s="50"/>
    </row>
    <row r="142" spans="1:26" ht="15.75" customHeight="1" x14ac:dyDescent="0.35">
      <c r="A142" s="50"/>
      <c r="B142" s="53" t="s">
        <v>147</v>
      </c>
      <c r="C142" s="54" t="s">
        <v>94</v>
      </c>
      <c r="D142" s="120">
        <f t="shared" ref="D142:P142" si="96">D74</f>
        <v>100</v>
      </c>
      <c r="E142" s="120">
        <f t="shared" si="96"/>
        <v>100</v>
      </c>
      <c r="F142" s="120">
        <f t="shared" si="96"/>
        <v>100</v>
      </c>
      <c r="G142" s="120">
        <f t="shared" si="96"/>
        <v>105</v>
      </c>
      <c r="H142" s="120">
        <f t="shared" si="96"/>
        <v>110.25</v>
      </c>
      <c r="I142" s="120">
        <f t="shared" si="96"/>
        <v>115.7625</v>
      </c>
      <c r="J142" s="120">
        <f t="shared" si="96"/>
        <v>121.55062500000001</v>
      </c>
      <c r="K142" s="120">
        <f t="shared" si="96"/>
        <v>127.62815625000002</v>
      </c>
      <c r="L142" s="120">
        <f t="shared" si="96"/>
        <v>134.00956406250003</v>
      </c>
      <c r="M142" s="120">
        <f t="shared" si="96"/>
        <v>140.71004226562505</v>
      </c>
      <c r="N142" s="120">
        <f t="shared" si="96"/>
        <v>147.74554437890632</v>
      </c>
      <c r="O142" s="120">
        <f t="shared" si="96"/>
        <v>155.13282159785163</v>
      </c>
      <c r="P142" s="124">
        <f t="shared" si="96"/>
        <v>162.88946267774421</v>
      </c>
      <c r="Q142" s="50"/>
      <c r="R142" s="50"/>
      <c r="S142" s="50"/>
      <c r="T142" s="50"/>
      <c r="U142" s="50"/>
      <c r="V142" s="50"/>
      <c r="W142" s="50"/>
      <c r="X142" s="50"/>
      <c r="Y142" s="50"/>
      <c r="Z142" s="50"/>
    </row>
    <row r="143" spans="1:26" ht="15.75" customHeight="1" x14ac:dyDescent="0.35">
      <c r="A143" s="50"/>
      <c r="B143" s="53" t="s">
        <v>148</v>
      </c>
      <c r="C143" s="54" t="s">
        <v>94</v>
      </c>
      <c r="D143" s="120">
        <f t="shared" ref="D143:P143" si="97">D75</f>
        <v>100</v>
      </c>
      <c r="E143" s="120">
        <f t="shared" si="97"/>
        <v>100</v>
      </c>
      <c r="F143" s="120">
        <f t="shared" si="97"/>
        <v>100</v>
      </c>
      <c r="G143" s="120">
        <f t="shared" si="97"/>
        <v>105</v>
      </c>
      <c r="H143" s="120">
        <f t="shared" si="97"/>
        <v>110.25</v>
      </c>
      <c r="I143" s="120">
        <f t="shared" si="97"/>
        <v>115.7625</v>
      </c>
      <c r="J143" s="120">
        <f t="shared" si="97"/>
        <v>121.55062500000001</v>
      </c>
      <c r="K143" s="120">
        <f t="shared" si="97"/>
        <v>127.62815625000002</v>
      </c>
      <c r="L143" s="120">
        <f t="shared" si="97"/>
        <v>134.00956406250003</v>
      </c>
      <c r="M143" s="120">
        <f t="shared" si="97"/>
        <v>140.71004226562505</v>
      </c>
      <c r="N143" s="120">
        <f t="shared" si="97"/>
        <v>147.74554437890632</v>
      </c>
      <c r="O143" s="120">
        <f t="shared" si="97"/>
        <v>155.13282159785163</v>
      </c>
      <c r="P143" s="124">
        <f t="shared" si="97"/>
        <v>162.88946267774421</v>
      </c>
      <c r="Q143" s="50"/>
      <c r="R143" s="50"/>
      <c r="S143" s="50"/>
      <c r="T143" s="50"/>
      <c r="U143" s="50"/>
      <c r="V143" s="50"/>
      <c r="W143" s="50"/>
      <c r="X143" s="50"/>
      <c r="Y143" s="50"/>
      <c r="Z143" s="50"/>
    </row>
    <row r="144" spans="1:26" ht="15.75" customHeight="1" x14ac:dyDescent="0.35">
      <c r="A144" s="50"/>
      <c r="B144" s="53" t="s">
        <v>149</v>
      </c>
      <c r="C144" s="54" t="s">
        <v>94</v>
      </c>
      <c r="D144" s="120">
        <f t="shared" ref="D144:P144" si="98">D76</f>
        <v>100</v>
      </c>
      <c r="E144" s="120">
        <f t="shared" si="98"/>
        <v>100</v>
      </c>
      <c r="F144" s="120">
        <f t="shared" si="98"/>
        <v>100</v>
      </c>
      <c r="G144" s="120">
        <f t="shared" si="98"/>
        <v>105</v>
      </c>
      <c r="H144" s="120">
        <f t="shared" si="98"/>
        <v>110.25</v>
      </c>
      <c r="I144" s="120">
        <f t="shared" si="98"/>
        <v>115.7625</v>
      </c>
      <c r="J144" s="120">
        <f t="shared" si="98"/>
        <v>121.55062500000001</v>
      </c>
      <c r="K144" s="120">
        <f t="shared" si="98"/>
        <v>127.62815625000002</v>
      </c>
      <c r="L144" s="120">
        <f t="shared" si="98"/>
        <v>134.00956406250003</v>
      </c>
      <c r="M144" s="120">
        <f t="shared" si="98"/>
        <v>140.71004226562505</v>
      </c>
      <c r="N144" s="120">
        <f t="shared" si="98"/>
        <v>147.74554437890632</v>
      </c>
      <c r="O144" s="120">
        <f t="shared" si="98"/>
        <v>155.13282159785163</v>
      </c>
      <c r="P144" s="124">
        <f t="shared" si="98"/>
        <v>162.88946267774421</v>
      </c>
      <c r="Q144" s="50"/>
      <c r="R144" s="50"/>
      <c r="S144" s="50"/>
      <c r="T144" s="50"/>
      <c r="U144" s="50"/>
      <c r="V144" s="50"/>
      <c r="W144" s="50"/>
      <c r="X144" s="50"/>
      <c r="Y144" s="50"/>
      <c r="Z144" s="50"/>
    </row>
    <row r="145" spans="1:26" ht="15.75" customHeight="1" x14ac:dyDescent="0.35">
      <c r="A145" s="50"/>
      <c r="B145" s="53" t="s">
        <v>198</v>
      </c>
      <c r="C145" s="54" t="s">
        <v>94</v>
      </c>
      <c r="D145" s="120">
        <f t="shared" ref="D145:P145" si="99">D77</f>
        <v>100</v>
      </c>
      <c r="E145" s="120">
        <f t="shared" si="99"/>
        <v>100</v>
      </c>
      <c r="F145" s="120">
        <f t="shared" si="99"/>
        <v>100</v>
      </c>
      <c r="G145" s="120">
        <f t="shared" si="99"/>
        <v>105</v>
      </c>
      <c r="H145" s="120">
        <f t="shared" si="99"/>
        <v>110.25</v>
      </c>
      <c r="I145" s="120">
        <f t="shared" si="99"/>
        <v>115.7625</v>
      </c>
      <c r="J145" s="120">
        <f t="shared" si="99"/>
        <v>121.55062500000001</v>
      </c>
      <c r="K145" s="120">
        <f t="shared" si="99"/>
        <v>127.62815625000002</v>
      </c>
      <c r="L145" s="120">
        <f t="shared" si="99"/>
        <v>134.00956406250003</v>
      </c>
      <c r="M145" s="120">
        <f t="shared" si="99"/>
        <v>140.71004226562505</v>
      </c>
      <c r="N145" s="120">
        <f t="shared" si="99"/>
        <v>147.74554437890632</v>
      </c>
      <c r="O145" s="120">
        <f t="shared" si="99"/>
        <v>155.13282159785163</v>
      </c>
      <c r="P145" s="124">
        <f t="shared" si="99"/>
        <v>162.88946267774421</v>
      </c>
      <c r="Q145" s="50"/>
      <c r="R145" s="50"/>
      <c r="S145" s="50"/>
      <c r="T145" s="50"/>
      <c r="U145" s="50"/>
      <c r="V145" s="50"/>
      <c r="W145" s="50"/>
      <c r="X145" s="50"/>
      <c r="Y145" s="50"/>
      <c r="Z145" s="50"/>
    </row>
    <row r="146" spans="1:26" ht="15.75" customHeight="1" x14ac:dyDescent="0.35">
      <c r="A146" s="50"/>
      <c r="B146" s="53" t="s">
        <v>199</v>
      </c>
      <c r="C146" s="54" t="s">
        <v>94</v>
      </c>
      <c r="D146" s="120">
        <f t="shared" ref="D146:P146" si="100">D78</f>
        <v>100</v>
      </c>
      <c r="E146" s="120">
        <f t="shared" si="100"/>
        <v>100</v>
      </c>
      <c r="F146" s="120">
        <f t="shared" si="100"/>
        <v>100</v>
      </c>
      <c r="G146" s="120">
        <f t="shared" si="100"/>
        <v>105</v>
      </c>
      <c r="H146" s="120">
        <f t="shared" si="100"/>
        <v>110.25</v>
      </c>
      <c r="I146" s="120">
        <f t="shared" si="100"/>
        <v>115.7625</v>
      </c>
      <c r="J146" s="120">
        <f t="shared" si="100"/>
        <v>121.55062500000001</v>
      </c>
      <c r="K146" s="120">
        <f t="shared" si="100"/>
        <v>127.62815625000002</v>
      </c>
      <c r="L146" s="120">
        <f t="shared" si="100"/>
        <v>134.00956406250003</v>
      </c>
      <c r="M146" s="120">
        <f t="shared" si="100"/>
        <v>140.71004226562505</v>
      </c>
      <c r="N146" s="120">
        <f t="shared" si="100"/>
        <v>147.74554437890632</v>
      </c>
      <c r="O146" s="120">
        <f t="shared" si="100"/>
        <v>155.13282159785163</v>
      </c>
      <c r="P146" s="124">
        <f t="shared" si="100"/>
        <v>162.88946267774421</v>
      </c>
      <c r="Q146" s="50"/>
      <c r="R146" s="50"/>
      <c r="S146" s="50"/>
      <c r="T146" s="50"/>
      <c r="U146" s="50"/>
      <c r="V146" s="50"/>
      <c r="W146" s="50"/>
      <c r="X146" s="50"/>
      <c r="Y146" s="50"/>
      <c r="Z146" s="50"/>
    </row>
    <row r="147" spans="1:26" ht="15.75" customHeight="1" x14ac:dyDescent="0.35">
      <c r="A147" s="50"/>
      <c r="B147" s="53" t="s">
        <v>152</v>
      </c>
      <c r="C147" s="54" t="s">
        <v>94</v>
      </c>
      <c r="D147" s="120">
        <f t="shared" ref="D147:P147" si="101">D79</f>
        <v>100</v>
      </c>
      <c r="E147" s="120">
        <f t="shared" si="101"/>
        <v>100</v>
      </c>
      <c r="F147" s="120">
        <f t="shared" si="101"/>
        <v>100</v>
      </c>
      <c r="G147" s="120">
        <f t="shared" si="101"/>
        <v>105</v>
      </c>
      <c r="H147" s="120">
        <f t="shared" si="101"/>
        <v>110.25</v>
      </c>
      <c r="I147" s="120">
        <f t="shared" si="101"/>
        <v>115.7625</v>
      </c>
      <c r="J147" s="120">
        <f t="shared" si="101"/>
        <v>121.55062500000001</v>
      </c>
      <c r="K147" s="120">
        <f t="shared" si="101"/>
        <v>127.62815625000002</v>
      </c>
      <c r="L147" s="120">
        <f t="shared" si="101"/>
        <v>134.00956406250003</v>
      </c>
      <c r="M147" s="120">
        <f t="shared" si="101"/>
        <v>140.71004226562505</v>
      </c>
      <c r="N147" s="120">
        <f t="shared" si="101"/>
        <v>147.74554437890632</v>
      </c>
      <c r="O147" s="120">
        <f t="shared" si="101"/>
        <v>155.13282159785163</v>
      </c>
      <c r="P147" s="124">
        <f t="shared" si="101"/>
        <v>162.88946267774421</v>
      </c>
      <c r="Q147" s="50"/>
      <c r="R147" s="50"/>
      <c r="S147" s="50"/>
      <c r="T147" s="50"/>
      <c r="U147" s="50"/>
      <c r="V147" s="50"/>
      <c r="W147" s="50"/>
      <c r="X147" s="50"/>
      <c r="Y147" s="50"/>
      <c r="Z147" s="50"/>
    </row>
    <row r="148" spans="1:26" ht="15.75" customHeight="1" x14ac:dyDescent="0.35">
      <c r="A148" s="50"/>
      <c r="B148" s="53" t="s">
        <v>153</v>
      </c>
      <c r="C148" s="54" t="s">
        <v>94</v>
      </c>
      <c r="D148" s="120">
        <f t="shared" ref="D148:P148" si="102">D80</f>
        <v>100</v>
      </c>
      <c r="E148" s="120">
        <f t="shared" si="102"/>
        <v>100</v>
      </c>
      <c r="F148" s="120">
        <f t="shared" si="102"/>
        <v>100</v>
      </c>
      <c r="G148" s="120">
        <f t="shared" si="102"/>
        <v>105</v>
      </c>
      <c r="H148" s="120">
        <f t="shared" si="102"/>
        <v>110.25</v>
      </c>
      <c r="I148" s="120">
        <f t="shared" si="102"/>
        <v>115.7625</v>
      </c>
      <c r="J148" s="120">
        <f t="shared" si="102"/>
        <v>121.55062500000001</v>
      </c>
      <c r="K148" s="120">
        <f t="shared" si="102"/>
        <v>127.62815625000002</v>
      </c>
      <c r="L148" s="120">
        <f t="shared" si="102"/>
        <v>134.00956406250003</v>
      </c>
      <c r="M148" s="120">
        <f t="shared" si="102"/>
        <v>140.71004226562505</v>
      </c>
      <c r="N148" s="120">
        <f t="shared" si="102"/>
        <v>147.74554437890632</v>
      </c>
      <c r="O148" s="120">
        <f t="shared" si="102"/>
        <v>155.13282159785163</v>
      </c>
      <c r="P148" s="124">
        <f t="shared" si="102"/>
        <v>162.88946267774421</v>
      </c>
      <c r="Q148" s="50"/>
      <c r="R148" s="50"/>
      <c r="S148" s="50"/>
      <c r="T148" s="50"/>
      <c r="U148" s="50"/>
      <c r="V148" s="50"/>
      <c r="W148" s="50"/>
      <c r="X148" s="50"/>
      <c r="Y148" s="50"/>
      <c r="Z148" s="50"/>
    </row>
    <row r="149" spans="1:26" ht="15.75" customHeight="1" x14ac:dyDescent="0.35">
      <c r="A149" s="50"/>
      <c r="B149" s="53" t="s">
        <v>154</v>
      </c>
      <c r="C149" s="54" t="s">
        <v>94</v>
      </c>
      <c r="D149" s="120">
        <f t="shared" ref="D149:P149" si="103">D81</f>
        <v>100</v>
      </c>
      <c r="E149" s="120">
        <f t="shared" si="103"/>
        <v>100</v>
      </c>
      <c r="F149" s="120">
        <f t="shared" si="103"/>
        <v>100</v>
      </c>
      <c r="G149" s="120">
        <f t="shared" si="103"/>
        <v>105</v>
      </c>
      <c r="H149" s="120">
        <f t="shared" si="103"/>
        <v>110.25</v>
      </c>
      <c r="I149" s="120">
        <f t="shared" si="103"/>
        <v>115.7625</v>
      </c>
      <c r="J149" s="120">
        <f t="shared" si="103"/>
        <v>121.55062500000001</v>
      </c>
      <c r="K149" s="120">
        <f t="shared" si="103"/>
        <v>127.62815625000002</v>
      </c>
      <c r="L149" s="120">
        <f t="shared" si="103"/>
        <v>134.00956406250003</v>
      </c>
      <c r="M149" s="120">
        <f t="shared" si="103"/>
        <v>140.71004226562505</v>
      </c>
      <c r="N149" s="120">
        <f t="shared" si="103"/>
        <v>147.74554437890632</v>
      </c>
      <c r="O149" s="120">
        <f t="shared" si="103"/>
        <v>155.13282159785163</v>
      </c>
      <c r="P149" s="124">
        <f t="shared" si="103"/>
        <v>162.88946267774421</v>
      </c>
      <c r="Q149" s="50"/>
      <c r="R149" s="50"/>
      <c r="S149" s="50"/>
      <c r="T149" s="50"/>
      <c r="U149" s="50"/>
      <c r="V149" s="50"/>
      <c r="W149" s="50"/>
      <c r="X149" s="50"/>
      <c r="Y149" s="50"/>
      <c r="Z149" s="50"/>
    </row>
    <row r="150" spans="1:26" ht="15.75" customHeight="1" x14ac:dyDescent="0.35">
      <c r="A150" s="50"/>
      <c r="B150" s="53" t="s">
        <v>155</v>
      </c>
      <c r="C150" s="54" t="s">
        <v>94</v>
      </c>
      <c r="D150" s="120">
        <f t="shared" ref="D150:P150" si="104">D82</f>
        <v>100</v>
      </c>
      <c r="E150" s="120">
        <f t="shared" si="104"/>
        <v>100</v>
      </c>
      <c r="F150" s="120">
        <f t="shared" si="104"/>
        <v>100</v>
      </c>
      <c r="G150" s="120">
        <f t="shared" si="104"/>
        <v>105</v>
      </c>
      <c r="H150" s="120">
        <f t="shared" si="104"/>
        <v>110.25</v>
      </c>
      <c r="I150" s="120">
        <f t="shared" si="104"/>
        <v>115.7625</v>
      </c>
      <c r="J150" s="120">
        <f t="shared" si="104"/>
        <v>121.55062500000001</v>
      </c>
      <c r="K150" s="120">
        <f t="shared" si="104"/>
        <v>127.62815625000002</v>
      </c>
      <c r="L150" s="120">
        <f t="shared" si="104"/>
        <v>134.00956406250003</v>
      </c>
      <c r="M150" s="120">
        <f t="shared" si="104"/>
        <v>140.71004226562505</v>
      </c>
      <c r="N150" s="120">
        <f t="shared" si="104"/>
        <v>147.74554437890632</v>
      </c>
      <c r="O150" s="120">
        <f t="shared" si="104"/>
        <v>155.13282159785163</v>
      </c>
      <c r="P150" s="124">
        <f t="shared" si="104"/>
        <v>162.88946267774421</v>
      </c>
      <c r="Q150" s="50"/>
      <c r="R150" s="50"/>
      <c r="S150" s="50"/>
      <c r="T150" s="50"/>
      <c r="U150" s="50"/>
      <c r="V150" s="50"/>
      <c r="W150" s="50"/>
      <c r="X150" s="50"/>
      <c r="Y150" s="50"/>
      <c r="Z150" s="50"/>
    </row>
    <row r="151" spans="1:26" ht="15.75" customHeight="1" x14ac:dyDescent="0.35">
      <c r="A151" s="50"/>
      <c r="B151" s="53" t="s">
        <v>156</v>
      </c>
      <c r="C151" s="54" t="s">
        <v>94</v>
      </c>
      <c r="D151" s="120">
        <f t="shared" ref="D151:P151" si="105">D83</f>
        <v>100</v>
      </c>
      <c r="E151" s="120">
        <f t="shared" si="105"/>
        <v>100</v>
      </c>
      <c r="F151" s="120">
        <f t="shared" si="105"/>
        <v>100</v>
      </c>
      <c r="G151" s="120">
        <f t="shared" si="105"/>
        <v>105</v>
      </c>
      <c r="H151" s="120">
        <f t="shared" si="105"/>
        <v>110.25</v>
      </c>
      <c r="I151" s="120">
        <f t="shared" si="105"/>
        <v>115.7625</v>
      </c>
      <c r="J151" s="120">
        <f t="shared" si="105"/>
        <v>121.55062500000001</v>
      </c>
      <c r="K151" s="120">
        <f t="shared" si="105"/>
        <v>127.62815625000002</v>
      </c>
      <c r="L151" s="120">
        <f t="shared" si="105"/>
        <v>134.00956406250003</v>
      </c>
      <c r="M151" s="120">
        <f t="shared" si="105"/>
        <v>140.71004226562505</v>
      </c>
      <c r="N151" s="120">
        <f t="shared" si="105"/>
        <v>147.74554437890632</v>
      </c>
      <c r="O151" s="120">
        <f t="shared" si="105"/>
        <v>155.13282159785163</v>
      </c>
      <c r="P151" s="124">
        <f t="shared" si="105"/>
        <v>162.88946267774421</v>
      </c>
      <c r="Q151" s="50"/>
      <c r="R151" s="50"/>
      <c r="S151" s="50"/>
      <c r="T151" s="50"/>
      <c r="U151" s="50"/>
      <c r="V151" s="50"/>
      <c r="W151" s="50"/>
      <c r="X151" s="50"/>
      <c r="Y151" s="50"/>
      <c r="Z151" s="50"/>
    </row>
    <row r="152" spans="1:26" ht="15.75" customHeight="1" x14ac:dyDescent="0.35">
      <c r="A152" s="50"/>
      <c r="B152" s="161" t="s">
        <v>96</v>
      </c>
      <c r="C152" s="54" t="s">
        <v>94</v>
      </c>
      <c r="D152" s="120">
        <f t="shared" ref="D152:P152" si="106">D84</f>
        <v>100</v>
      </c>
      <c r="E152" s="120">
        <f t="shared" si="106"/>
        <v>100</v>
      </c>
      <c r="F152" s="120">
        <f t="shared" si="106"/>
        <v>100</v>
      </c>
      <c r="G152" s="120">
        <f t="shared" si="106"/>
        <v>105</v>
      </c>
      <c r="H152" s="120">
        <f t="shared" si="106"/>
        <v>110.25</v>
      </c>
      <c r="I152" s="120">
        <f t="shared" si="106"/>
        <v>115.7625</v>
      </c>
      <c r="J152" s="120">
        <f t="shared" si="106"/>
        <v>121.55062500000001</v>
      </c>
      <c r="K152" s="120">
        <f t="shared" si="106"/>
        <v>127.62815625000002</v>
      </c>
      <c r="L152" s="120">
        <f t="shared" si="106"/>
        <v>134.00956406250003</v>
      </c>
      <c r="M152" s="120">
        <f t="shared" si="106"/>
        <v>140.71004226562505</v>
      </c>
      <c r="N152" s="120">
        <f t="shared" si="106"/>
        <v>147.74554437890632</v>
      </c>
      <c r="O152" s="120">
        <f t="shared" si="106"/>
        <v>155.13282159785163</v>
      </c>
      <c r="P152" s="124">
        <f t="shared" si="106"/>
        <v>162.88946267774421</v>
      </c>
      <c r="Q152" s="50"/>
      <c r="R152" s="50"/>
      <c r="S152" s="50"/>
      <c r="T152" s="50"/>
      <c r="U152" s="50"/>
      <c r="V152" s="50"/>
      <c r="W152" s="50"/>
      <c r="X152" s="50"/>
      <c r="Y152" s="50"/>
      <c r="Z152" s="50"/>
    </row>
    <row r="153" spans="1:26" ht="15.75" customHeight="1" x14ac:dyDescent="0.35">
      <c r="A153" s="50"/>
      <c r="B153" s="53" t="s">
        <v>158</v>
      </c>
      <c r="C153" s="54" t="s">
        <v>94</v>
      </c>
      <c r="D153" s="120">
        <f t="shared" ref="D153:P153" si="107">D85</f>
        <v>100</v>
      </c>
      <c r="E153" s="120">
        <f t="shared" si="107"/>
        <v>100</v>
      </c>
      <c r="F153" s="120">
        <f t="shared" si="107"/>
        <v>100</v>
      </c>
      <c r="G153" s="120">
        <f t="shared" si="107"/>
        <v>105</v>
      </c>
      <c r="H153" s="120">
        <f t="shared" si="107"/>
        <v>110.25</v>
      </c>
      <c r="I153" s="120">
        <f t="shared" si="107"/>
        <v>115.7625</v>
      </c>
      <c r="J153" s="120">
        <f t="shared" si="107"/>
        <v>121.55062500000001</v>
      </c>
      <c r="K153" s="120">
        <f t="shared" si="107"/>
        <v>127.62815625000002</v>
      </c>
      <c r="L153" s="120">
        <f t="shared" si="107"/>
        <v>134.00956406250003</v>
      </c>
      <c r="M153" s="120">
        <f t="shared" si="107"/>
        <v>140.71004226562505</v>
      </c>
      <c r="N153" s="120">
        <f t="shared" si="107"/>
        <v>147.74554437890632</v>
      </c>
      <c r="O153" s="120">
        <f t="shared" si="107"/>
        <v>155.13282159785163</v>
      </c>
      <c r="P153" s="124">
        <f t="shared" si="107"/>
        <v>162.88946267774421</v>
      </c>
      <c r="Q153" s="50"/>
      <c r="R153" s="50"/>
      <c r="S153" s="50"/>
      <c r="T153" s="50"/>
      <c r="U153" s="50"/>
      <c r="V153" s="50"/>
      <c r="W153" s="50"/>
      <c r="X153" s="50"/>
      <c r="Y153" s="50"/>
      <c r="Z153" s="50"/>
    </row>
    <row r="154" spans="1:26" ht="15.75" customHeight="1" x14ac:dyDescent="0.35">
      <c r="A154" s="237"/>
      <c r="B154" s="238" t="s">
        <v>65</v>
      </c>
      <c r="C154" s="239"/>
      <c r="D154" s="240">
        <f t="shared" ref="D154:P154" si="108">SUM(D147:D153)</f>
        <v>700</v>
      </c>
      <c r="E154" s="240">
        <f t="shared" si="108"/>
        <v>700</v>
      </c>
      <c r="F154" s="240">
        <f t="shared" si="108"/>
        <v>700</v>
      </c>
      <c r="G154" s="240">
        <f t="shared" si="108"/>
        <v>735</v>
      </c>
      <c r="H154" s="240">
        <f t="shared" si="108"/>
        <v>771.75</v>
      </c>
      <c r="I154" s="240">
        <f t="shared" si="108"/>
        <v>810.33750000000009</v>
      </c>
      <c r="J154" s="240">
        <f t="shared" si="108"/>
        <v>850.854375</v>
      </c>
      <c r="K154" s="240">
        <f t="shared" si="108"/>
        <v>893.39709375000029</v>
      </c>
      <c r="L154" s="240">
        <f t="shared" si="108"/>
        <v>938.06694843750006</v>
      </c>
      <c r="M154" s="240">
        <f t="shared" si="108"/>
        <v>984.97029585937526</v>
      </c>
      <c r="N154" s="240">
        <f t="shared" si="108"/>
        <v>1034.2188106523442</v>
      </c>
      <c r="O154" s="240">
        <f t="shared" si="108"/>
        <v>1085.9297511849613</v>
      </c>
      <c r="P154" s="241">
        <f t="shared" si="108"/>
        <v>1140.2262387442095</v>
      </c>
      <c r="Q154" s="237"/>
      <c r="R154" s="237"/>
      <c r="S154" s="237"/>
      <c r="T154" s="237"/>
      <c r="U154" s="237"/>
      <c r="V154" s="237"/>
      <c r="W154" s="237"/>
      <c r="X154" s="237"/>
      <c r="Y154" s="237"/>
      <c r="Z154" s="237"/>
    </row>
    <row r="155" spans="1:26" ht="15.75" customHeight="1" x14ac:dyDescent="0.35">
      <c r="A155" s="50"/>
      <c r="B155" s="46" t="s">
        <v>281</v>
      </c>
      <c r="C155" s="47"/>
      <c r="D155" s="120"/>
      <c r="E155" s="120"/>
      <c r="F155" s="120"/>
      <c r="G155" s="120"/>
      <c r="H155" s="120"/>
      <c r="I155" s="120"/>
      <c r="J155" s="120"/>
      <c r="K155" s="120"/>
      <c r="L155" s="120"/>
      <c r="M155" s="120"/>
      <c r="N155" s="50"/>
      <c r="O155" s="50"/>
      <c r="P155" s="115"/>
      <c r="Q155" s="50"/>
      <c r="R155" s="50"/>
      <c r="S155" s="50"/>
      <c r="T155" s="50"/>
      <c r="U155" s="50"/>
      <c r="V155" s="50"/>
      <c r="W155" s="50"/>
      <c r="X155" s="50"/>
      <c r="Y155" s="50"/>
      <c r="Z155" s="50"/>
    </row>
    <row r="156" spans="1:26" ht="15.75" customHeight="1" x14ac:dyDescent="0.35">
      <c r="A156" s="50"/>
      <c r="B156" s="53" t="s">
        <v>145</v>
      </c>
      <c r="C156" s="47"/>
      <c r="D156" s="255">
        <f t="shared" ref="D156:P156" si="109">$D$29</f>
        <v>0.25</v>
      </c>
      <c r="E156" s="255">
        <f t="shared" si="109"/>
        <v>0.25</v>
      </c>
      <c r="F156" s="255">
        <f t="shared" si="109"/>
        <v>0.25</v>
      </c>
      <c r="G156" s="255">
        <f t="shared" si="109"/>
        <v>0.25</v>
      </c>
      <c r="H156" s="255">
        <f t="shared" si="109"/>
        <v>0.25</v>
      </c>
      <c r="I156" s="255">
        <f t="shared" si="109"/>
        <v>0.25</v>
      </c>
      <c r="J156" s="255">
        <f t="shared" si="109"/>
        <v>0.25</v>
      </c>
      <c r="K156" s="255">
        <f t="shared" si="109"/>
        <v>0.25</v>
      </c>
      <c r="L156" s="255">
        <f t="shared" si="109"/>
        <v>0.25</v>
      </c>
      <c r="M156" s="255">
        <f t="shared" si="109"/>
        <v>0.25</v>
      </c>
      <c r="N156" s="255">
        <f t="shared" si="109"/>
        <v>0.25</v>
      </c>
      <c r="O156" s="255">
        <f t="shared" si="109"/>
        <v>0.25</v>
      </c>
      <c r="P156" s="256">
        <f t="shared" si="109"/>
        <v>0.25</v>
      </c>
      <c r="Q156" s="50"/>
      <c r="R156" s="50"/>
      <c r="S156" s="50"/>
      <c r="T156" s="50"/>
      <c r="U156" s="50"/>
      <c r="V156" s="50"/>
      <c r="W156" s="50"/>
      <c r="X156" s="50"/>
      <c r="Y156" s="50"/>
      <c r="Z156" s="50"/>
    </row>
    <row r="157" spans="1:26" ht="15.75" customHeight="1" x14ac:dyDescent="0.35">
      <c r="A157" s="50"/>
      <c r="B157" s="53" t="s">
        <v>146</v>
      </c>
      <c r="C157" s="47"/>
      <c r="D157" s="255">
        <f t="shared" ref="D157:P157" si="110">$D$29</f>
        <v>0.25</v>
      </c>
      <c r="E157" s="255">
        <f t="shared" si="110"/>
        <v>0.25</v>
      </c>
      <c r="F157" s="255">
        <f t="shared" si="110"/>
        <v>0.25</v>
      </c>
      <c r="G157" s="255">
        <f t="shared" si="110"/>
        <v>0.25</v>
      </c>
      <c r="H157" s="255">
        <f t="shared" si="110"/>
        <v>0.25</v>
      </c>
      <c r="I157" s="255">
        <f t="shared" si="110"/>
        <v>0.25</v>
      </c>
      <c r="J157" s="255">
        <f t="shared" si="110"/>
        <v>0.25</v>
      </c>
      <c r="K157" s="255">
        <f t="shared" si="110"/>
        <v>0.25</v>
      </c>
      <c r="L157" s="255">
        <f t="shared" si="110"/>
        <v>0.25</v>
      </c>
      <c r="M157" s="255">
        <f t="shared" si="110"/>
        <v>0.25</v>
      </c>
      <c r="N157" s="255">
        <f t="shared" si="110"/>
        <v>0.25</v>
      </c>
      <c r="O157" s="255">
        <f t="shared" si="110"/>
        <v>0.25</v>
      </c>
      <c r="P157" s="256">
        <f t="shared" si="110"/>
        <v>0.25</v>
      </c>
      <c r="Q157" s="50"/>
      <c r="R157" s="50"/>
      <c r="S157" s="50"/>
      <c r="T157" s="50"/>
      <c r="U157" s="50"/>
      <c r="V157" s="50"/>
      <c r="W157" s="50"/>
      <c r="X157" s="50"/>
      <c r="Y157" s="50"/>
      <c r="Z157" s="50"/>
    </row>
    <row r="158" spans="1:26" ht="15.75" customHeight="1" x14ac:dyDescent="0.35">
      <c r="A158" s="50"/>
      <c r="B158" s="53" t="s">
        <v>147</v>
      </c>
      <c r="C158" s="47"/>
      <c r="D158" s="255">
        <f t="shared" ref="D158:P158" si="111">$D$29</f>
        <v>0.25</v>
      </c>
      <c r="E158" s="255">
        <f t="shared" si="111"/>
        <v>0.25</v>
      </c>
      <c r="F158" s="255">
        <f t="shared" si="111"/>
        <v>0.25</v>
      </c>
      <c r="G158" s="255">
        <f t="shared" si="111"/>
        <v>0.25</v>
      </c>
      <c r="H158" s="255">
        <f t="shared" si="111"/>
        <v>0.25</v>
      </c>
      <c r="I158" s="255">
        <f t="shared" si="111"/>
        <v>0.25</v>
      </c>
      <c r="J158" s="255">
        <f t="shared" si="111"/>
        <v>0.25</v>
      </c>
      <c r="K158" s="255">
        <f t="shared" si="111"/>
        <v>0.25</v>
      </c>
      <c r="L158" s="255">
        <f t="shared" si="111"/>
        <v>0.25</v>
      </c>
      <c r="M158" s="255">
        <f t="shared" si="111"/>
        <v>0.25</v>
      </c>
      <c r="N158" s="255">
        <f t="shared" si="111"/>
        <v>0.25</v>
      </c>
      <c r="O158" s="255">
        <f t="shared" si="111"/>
        <v>0.25</v>
      </c>
      <c r="P158" s="256">
        <f t="shared" si="111"/>
        <v>0.25</v>
      </c>
      <c r="Q158" s="50"/>
      <c r="R158" s="50"/>
      <c r="S158" s="50"/>
      <c r="T158" s="50"/>
      <c r="U158" s="50"/>
      <c r="V158" s="50"/>
      <c r="W158" s="50"/>
      <c r="X158" s="50"/>
      <c r="Y158" s="50"/>
      <c r="Z158" s="50"/>
    </row>
    <row r="159" spans="1:26" ht="15.75" customHeight="1" x14ac:dyDescent="0.35">
      <c r="A159" s="50"/>
      <c r="B159" s="53" t="s">
        <v>148</v>
      </c>
      <c r="C159" s="47"/>
      <c r="D159" s="255">
        <f t="shared" ref="D159:P159" si="112">$D$29</f>
        <v>0.25</v>
      </c>
      <c r="E159" s="255">
        <f t="shared" si="112"/>
        <v>0.25</v>
      </c>
      <c r="F159" s="255">
        <f t="shared" si="112"/>
        <v>0.25</v>
      </c>
      <c r="G159" s="255">
        <f t="shared" si="112"/>
        <v>0.25</v>
      </c>
      <c r="H159" s="255">
        <f t="shared" si="112"/>
        <v>0.25</v>
      </c>
      <c r="I159" s="255">
        <f t="shared" si="112"/>
        <v>0.25</v>
      </c>
      <c r="J159" s="255">
        <f t="shared" si="112"/>
        <v>0.25</v>
      </c>
      <c r="K159" s="255">
        <f t="shared" si="112"/>
        <v>0.25</v>
      </c>
      <c r="L159" s="255">
        <f t="shared" si="112"/>
        <v>0.25</v>
      </c>
      <c r="M159" s="255">
        <f t="shared" si="112"/>
        <v>0.25</v>
      </c>
      <c r="N159" s="255">
        <f t="shared" si="112"/>
        <v>0.25</v>
      </c>
      <c r="O159" s="255">
        <f t="shared" si="112"/>
        <v>0.25</v>
      </c>
      <c r="P159" s="256">
        <f t="shared" si="112"/>
        <v>0.25</v>
      </c>
      <c r="Q159" s="50"/>
      <c r="R159" s="50"/>
      <c r="S159" s="50"/>
      <c r="T159" s="50"/>
      <c r="U159" s="50"/>
      <c r="V159" s="50"/>
      <c r="W159" s="50"/>
      <c r="X159" s="50"/>
      <c r="Y159" s="50"/>
      <c r="Z159" s="50"/>
    </row>
    <row r="160" spans="1:26" ht="15.75" customHeight="1" x14ac:dyDescent="0.35">
      <c r="A160" s="50"/>
      <c r="B160" s="53" t="s">
        <v>149</v>
      </c>
      <c r="C160" s="47"/>
      <c r="D160" s="255">
        <f t="shared" ref="D160:P160" si="113">$D$29</f>
        <v>0.25</v>
      </c>
      <c r="E160" s="255">
        <f t="shared" si="113"/>
        <v>0.25</v>
      </c>
      <c r="F160" s="255">
        <f t="shared" si="113"/>
        <v>0.25</v>
      </c>
      <c r="G160" s="255">
        <f t="shared" si="113"/>
        <v>0.25</v>
      </c>
      <c r="H160" s="255">
        <f t="shared" si="113"/>
        <v>0.25</v>
      </c>
      <c r="I160" s="255">
        <f t="shared" si="113"/>
        <v>0.25</v>
      </c>
      <c r="J160" s="255">
        <f t="shared" si="113"/>
        <v>0.25</v>
      </c>
      <c r="K160" s="255">
        <f t="shared" si="113"/>
        <v>0.25</v>
      </c>
      <c r="L160" s="255">
        <f t="shared" si="113"/>
        <v>0.25</v>
      </c>
      <c r="M160" s="255">
        <f t="shared" si="113"/>
        <v>0.25</v>
      </c>
      <c r="N160" s="255">
        <f t="shared" si="113"/>
        <v>0.25</v>
      </c>
      <c r="O160" s="255">
        <f t="shared" si="113"/>
        <v>0.25</v>
      </c>
      <c r="P160" s="256">
        <f t="shared" si="113"/>
        <v>0.25</v>
      </c>
      <c r="Q160" s="50"/>
      <c r="R160" s="50"/>
      <c r="S160" s="50"/>
      <c r="T160" s="50"/>
      <c r="U160" s="50"/>
      <c r="V160" s="50"/>
      <c r="W160" s="50"/>
      <c r="X160" s="50"/>
      <c r="Y160" s="50"/>
      <c r="Z160" s="50"/>
    </row>
    <row r="161" spans="1:26" ht="15.75" customHeight="1" x14ac:dyDescent="0.35">
      <c r="A161" s="50"/>
      <c r="B161" s="53" t="s">
        <v>198</v>
      </c>
      <c r="C161" s="47"/>
      <c r="D161" s="255">
        <f t="shared" ref="D161:P161" si="114">$D$29</f>
        <v>0.25</v>
      </c>
      <c r="E161" s="255">
        <f t="shared" si="114"/>
        <v>0.25</v>
      </c>
      <c r="F161" s="255">
        <f t="shared" si="114"/>
        <v>0.25</v>
      </c>
      <c r="G161" s="255">
        <f t="shared" si="114"/>
        <v>0.25</v>
      </c>
      <c r="H161" s="255">
        <f t="shared" si="114"/>
        <v>0.25</v>
      </c>
      <c r="I161" s="255">
        <f t="shared" si="114"/>
        <v>0.25</v>
      </c>
      <c r="J161" s="255">
        <f t="shared" si="114"/>
        <v>0.25</v>
      </c>
      <c r="K161" s="255">
        <f t="shared" si="114"/>
        <v>0.25</v>
      </c>
      <c r="L161" s="255">
        <f t="shared" si="114"/>
        <v>0.25</v>
      </c>
      <c r="M161" s="255">
        <f t="shared" si="114"/>
        <v>0.25</v>
      </c>
      <c r="N161" s="255">
        <f t="shared" si="114"/>
        <v>0.25</v>
      </c>
      <c r="O161" s="255">
        <f t="shared" si="114"/>
        <v>0.25</v>
      </c>
      <c r="P161" s="256">
        <f t="shared" si="114"/>
        <v>0.25</v>
      </c>
      <c r="Q161" s="50"/>
      <c r="R161" s="50"/>
      <c r="S161" s="50"/>
      <c r="T161" s="50"/>
      <c r="U161" s="50"/>
      <c r="V161" s="50"/>
      <c r="W161" s="50"/>
      <c r="X161" s="50"/>
      <c r="Y161" s="50"/>
      <c r="Z161" s="50"/>
    </row>
    <row r="162" spans="1:26" ht="15.75" customHeight="1" x14ac:dyDescent="0.35">
      <c r="A162" s="50"/>
      <c r="B162" s="53" t="s">
        <v>199</v>
      </c>
      <c r="C162" s="47"/>
      <c r="D162" s="255">
        <f t="shared" ref="D162:P162" si="115">$D$29</f>
        <v>0.25</v>
      </c>
      <c r="E162" s="255">
        <f t="shared" si="115"/>
        <v>0.25</v>
      </c>
      <c r="F162" s="255">
        <f t="shared" si="115"/>
        <v>0.25</v>
      </c>
      <c r="G162" s="255">
        <f t="shared" si="115"/>
        <v>0.25</v>
      </c>
      <c r="H162" s="255">
        <f t="shared" si="115"/>
        <v>0.25</v>
      </c>
      <c r="I162" s="255">
        <f t="shared" si="115"/>
        <v>0.25</v>
      </c>
      <c r="J162" s="255">
        <f t="shared" si="115"/>
        <v>0.25</v>
      </c>
      <c r="K162" s="255">
        <f t="shared" si="115"/>
        <v>0.25</v>
      </c>
      <c r="L162" s="255">
        <f t="shared" si="115"/>
        <v>0.25</v>
      </c>
      <c r="M162" s="255">
        <f t="shared" si="115"/>
        <v>0.25</v>
      </c>
      <c r="N162" s="255">
        <f t="shared" si="115"/>
        <v>0.25</v>
      </c>
      <c r="O162" s="255">
        <f t="shared" si="115"/>
        <v>0.25</v>
      </c>
      <c r="P162" s="256">
        <f t="shared" si="115"/>
        <v>0.25</v>
      </c>
      <c r="Q162" s="50"/>
      <c r="R162" s="50"/>
      <c r="S162" s="50"/>
      <c r="T162" s="50"/>
      <c r="U162" s="50"/>
      <c r="V162" s="50"/>
      <c r="W162" s="50"/>
      <c r="X162" s="50"/>
      <c r="Y162" s="50"/>
      <c r="Z162" s="50"/>
    </row>
    <row r="163" spans="1:26" ht="15.75" customHeight="1" x14ac:dyDescent="0.35">
      <c r="A163" s="50"/>
      <c r="B163" s="53" t="s">
        <v>152</v>
      </c>
      <c r="C163" s="47"/>
      <c r="D163" s="255">
        <f t="shared" ref="D163:P163" si="116">$D$29</f>
        <v>0.25</v>
      </c>
      <c r="E163" s="255">
        <f t="shared" si="116"/>
        <v>0.25</v>
      </c>
      <c r="F163" s="255">
        <f t="shared" si="116"/>
        <v>0.25</v>
      </c>
      <c r="G163" s="255">
        <f t="shared" si="116"/>
        <v>0.25</v>
      </c>
      <c r="H163" s="255">
        <f t="shared" si="116"/>
        <v>0.25</v>
      </c>
      <c r="I163" s="255">
        <f t="shared" si="116"/>
        <v>0.25</v>
      </c>
      <c r="J163" s="255">
        <f t="shared" si="116"/>
        <v>0.25</v>
      </c>
      <c r="K163" s="255">
        <f t="shared" si="116"/>
        <v>0.25</v>
      </c>
      <c r="L163" s="255">
        <f t="shared" si="116"/>
        <v>0.25</v>
      </c>
      <c r="M163" s="255">
        <f t="shared" si="116"/>
        <v>0.25</v>
      </c>
      <c r="N163" s="255">
        <f t="shared" si="116"/>
        <v>0.25</v>
      </c>
      <c r="O163" s="255">
        <f t="shared" si="116"/>
        <v>0.25</v>
      </c>
      <c r="P163" s="256">
        <f t="shared" si="116"/>
        <v>0.25</v>
      </c>
      <c r="Q163" s="50"/>
      <c r="R163" s="50"/>
      <c r="S163" s="50"/>
      <c r="T163" s="50"/>
      <c r="U163" s="50"/>
      <c r="V163" s="50"/>
      <c r="W163" s="50"/>
      <c r="X163" s="50"/>
      <c r="Y163" s="50"/>
      <c r="Z163" s="50"/>
    </row>
    <row r="164" spans="1:26" ht="15.75" customHeight="1" x14ac:dyDescent="0.35">
      <c r="A164" s="50"/>
      <c r="B164" s="53" t="s">
        <v>153</v>
      </c>
      <c r="C164" s="47"/>
      <c r="D164" s="255">
        <f t="shared" ref="D164:P164" si="117">$D$29</f>
        <v>0.25</v>
      </c>
      <c r="E164" s="255">
        <f t="shared" si="117"/>
        <v>0.25</v>
      </c>
      <c r="F164" s="255">
        <f t="shared" si="117"/>
        <v>0.25</v>
      </c>
      <c r="G164" s="255">
        <f t="shared" si="117"/>
        <v>0.25</v>
      </c>
      <c r="H164" s="255">
        <f t="shared" si="117"/>
        <v>0.25</v>
      </c>
      <c r="I164" s="255">
        <f t="shared" si="117"/>
        <v>0.25</v>
      </c>
      <c r="J164" s="255">
        <f t="shared" si="117"/>
        <v>0.25</v>
      </c>
      <c r="K164" s="255">
        <f t="shared" si="117"/>
        <v>0.25</v>
      </c>
      <c r="L164" s="255">
        <f t="shared" si="117"/>
        <v>0.25</v>
      </c>
      <c r="M164" s="255">
        <f t="shared" si="117"/>
        <v>0.25</v>
      </c>
      <c r="N164" s="255">
        <f t="shared" si="117"/>
        <v>0.25</v>
      </c>
      <c r="O164" s="255">
        <f t="shared" si="117"/>
        <v>0.25</v>
      </c>
      <c r="P164" s="256">
        <f t="shared" si="117"/>
        <v>0.25</v>
      </c>
      <c r="Q164" s="50"/>
      <c r="R164" s="50"/>
      <c r="S164" s="50"/>
      <c r="T164" s="50"/>
      <c r="U164" s="50"/>
      <c r="V164" s="50"/>
      <c r="W164" s="50"/>
      <c r="X164" s="50"/>
      <c r="Y164" s="50"/>
      <c r="Z164" s="50"/>
    </row>
    <row r="165" spans="1:26" ht="15.75" customHeight="1" x14ac:dyDescent="0.35">
      <c r="A165" s="50"/>
      <c r="B165" s="53" t="s">
        <v>154</v>
      </c>
      <c r="C165" s="47"/>
      <c r="D165" s="255">
        <f t="shared" ref="D165:P165" si="118">$D$29</f>
        <v>0.25</v>
      </c>
      <c r="E165" s="255">
        <f t="shared" si="118"/>
        <v>0.25</v>
      </c>
      <c r="F165" s="255">
        <f t="shared" si="118"/>
        <v>0.25</v>
      </c>
      <c r="G165" s="255">
        <f t="shared" si="118"/>
        <v>0.25</v>
      </c>
      <c r="H165" s="255">
        <f t="shared" si="118"/>
        <v>0.25</v>
      </c>
      <c r="I165" s="255">
        <f t="shared" si="118"/>
        <v>0.25</v>
      </c>
      <c r="J165" s="255">
        <f t="shared" si="118"/>
        <v>0.25</v>
      </c>
      <c r="K165" s="255">
        <f t="shared" si="118"/>
        <v>0.25</v>
      </c>
      <c r="L165" s="255">
        <f t="shared" si="118"/>
        <v>0.25</v>
      </c>
      <c r="M165" s="255">
        <f t="shared" si="118"/>
        <v>0.25</v>
      </c>
      <c r="N165" s="255">
        <f t="shared" si="118"/>
        <v>0.25</v>
      </c>
      <c r="O165" s="255">
        <f t="shared" si="118"/>
        <v>0.25</v>
      </c>
      <c r="P165" s="256">
        <f t="shared" si="118"/>
        <v>0.25</v>
      </c>
      <c r="Q165" s="50"/>
      <c r="R165" s="50"/>
      <c r="S165" s="50"/>
      <c r="T165" s="50"/>
      <c r="U165" s="50"/>
      <c r="V165" s="50"/>
      <c r="W165" s="50"/>
      <c r="X165" s="50"/>
      <c r="Y165" s="50"/>
      <c r="Z165" s="50"/>
    </row>
    <row r="166" spans="1:26" ht="15.75" customHeight="1" x14ac:dyDescent="0.35">
      <c r="A166" s="50"/>
      <c r="B166" s="53" t="s">
        <v>155</v>
      </c>
      <c r="C166" s="47"/>
      <c r="D166" s="255">
        <f t="shared" ref="D166:P166" si="119">$D$29</f>
        <v>0.25</v>
      </c>
      <c r="E166" s="255">
        <f t="shared" si="119"/>
        <v>0.25</v>
      </c>
      <c r="F166" s="255">
        <f t="shared" si="119"/>
        <v>0.25</v>
      </c>
      <c r="G166" s="255">
        <f t="shared" si="119"/>
        <v>0.25</v>
      </c>
      <c r="H166" s="255">
        <f t="shared" si="119"/>
        <v>0.25</v>
      </c>
      <c r="I166" s="255">
        <f t="shared" si="119"/>
        <v>0.25</v>
      </c>
      <c r="J166" s="255">
        <f t="shared" si="119"/>
        <v>0.25</v>
      </c>
      <c r="K166" s="255">
        <f t="shared" si="119"/>
        <v>0.25</v>
      </c>
      <c r="L166" s="255">
        <f t="shared" si="119"/>
        <v>0.25</v>
      </c>
      <c r="M166" s="255">
        <f t="shared" si="119"/>
        <v>0.25</v>
      </c>
      <c r="N166" s="255">
        <f t="shared" si="119"/>
        <v>0.25</v>
      </c>
      <c r="O166" s="255">
        <f t="shared" si="119"/>
        <v>0.25</v>
      </c>
      <c r="P166" s="256">
        <f t="shared" si="119"/>
        <v>0.25</v>
      </c>
      <c r="Q166" s="50"/>
      <c r="R166" s="50"/>
      <c r="S166" s="50"/>
      <c r="T166" s="50"/>
      <c r="U166" s="50"/>
      <c r="V166" s="50"/>
      <c r="W166" s="50"/>
      <c r="X166" s="50"/>
      <c r="Y166" s="50"/>
      <c r="Z166" s="50"/>
    </row>
    <row r="167" spans="1:26" ht="15.75" customHeight="1" x14ac:dyDescent="0.35">
      <c r="A167" s="50"/>
      <c r="B167" s="53" t="s">
        <v>156</v>
      </c>
      <c r="C167" s="47"/>
      <c r="D167" s="255">
        <f t="shared" ref="D167:P167" si="120">$D$29</f>
        <v>0.25</v>
      </c>
      <c r="E167" s="255">
        <f t="shared" si="120"/>
        <v>0.25</v>
      </c>
      <c r="F167" s="255">
        <f t="shared" si="120"/>
        <v>0.25</v>
      </c>
      <c r="G167" s="255">
        <f t="shared" si="120"/>
        <v>0.25</v>
      </c>
      <c r="H167" s="255">
        <f t="shared" si="120"/>
        <v>0.25</v>
      </c>
      <c r="I167" s="255">
        <f t="shared" si="120"/>
        <v>0.25</v>
      </c>
      <c r="J167" s="255">
        <f t="shared" si="120"/>
        <v>0.25</v>
      </c>
      <c r="K167" s="255">
        <f t="shared" si="120"/>
        <v>0.25</v>
      </c>
      <c r="L167" s="255">
        <f t="shared" si="120"/>
        <v>0.25</v>
      </c>
      <c r="M167" s="255">
        <f t="shared" si="120"/>
        <v>0.25</v>
      </c>
      <c r="N167" s="255">
        <f t="shared" si="120"/>
        <v>0.25</v>
      </c>
      <c r="O167" s="255">
        <f t="shared" si="120"/>
        <v>0.25</v>
      </c>
      <c r="P167" s="256">
        <f t="shared" si="120"/>
        <v>0.25</v>
      </c>
      <c r="Q167" s="50"/>
      <c r="R167" s="50"/>
      <c r="S167" s="50"/>
      <c r="T167" s="50"/>
      <c r="U167" s="50"/>
      <c r="V167" s="50"/>
      <c r="W167" s="50"/>
      <c r="X167" s="50"/>
      <c r="Y167" s="50"/>
      <c r="Z167" s="50"/>
    </row>
    <row r="168" spans="1:26" ht="15.75" customHeight="1" x14ac:dyDescent="0.35">
      <c r="A168" s="50"/>
      <c r="B168" s="161" t="s">
        <v>96</v>
      </c>
      <c r="C168" s="47"/>
      <c r="D168" s="255">
        <f t="shared" ref="D168:P168" si="121">$D$29</f>
        <v>0.25</v>
      </c>
      <c r="E168" s="255">
        <f t="shared" si="121"/>
        <v>0.25</v>
      </c>
      <c r="F168" s="255">
        <f t="shared" si="121"/>
        <v>0.25</v>
      </c>
      <c r="G168" s="255">
        <f t="shared" si="121"/>
        <v>0.25</v>
      </c>
      <c r="H168" s="255">
        <f t="shared" si="121"/>
        <v>0.25</v>
      </c>
      <c r="I168" s="255">
        <f t="shared" si="121"/>
        <v>0.25</v>
      </c>
      <c r="J168" s="255">
        <f t="shared" si="121"/>
        <v>0.25</v>
      </c>
      <c r="K168" s="255">
        <f t="shared" si="121"/>
        <v>0.25</v>
      </c>
      <c r="L168" s="255">
        <f t="shared" si="121"/>
        <v>0.25</v>
      </c>
      <c r="M168" s="255">
        <f t="shared" si="121"/>
        <v>0.25</v>
      </c>
      <c r="N168" s="255">
        <f t="shared" si="121"/>
        <v>0.25</v>
      </c>
      <c r="O168" s="255">
        <f t="shared" si="121"/>
        <v>0.25</v>
      </c>
      <c r="P168" s="256">
        <f t="shared" si="121"/>
        <v>0.25</v>
      </c>
      <c r="Q168" s="50"/>
      <c r="R168" s="50"/>
      <c r="S168" s="50"/>
      <c r="T168" s="50"/>
      <c r="U168" s="50"/>
      <c r="V168" s="50"/>
      <c r="W168" s="50"/>
      <c r="X168" s="50"/>
      <c r="Y168" s="50"/>
      <c r="Z168" s="50"/>
    </row>
    <row r="169" spans="1:26" ht="15.75" customHeight="1" x14ac:dyDescent="0.35">
      <c r="A169" s="50"/>
      <c r="B169" s="53" t="s">
        <v>158</v>
      </c>
      <c r="C169" s="47"/>
      <c r="D169" s="255">
        <f t="shared" ref="D169:P169" si="122">$D$29</f>
        <v>0.25</v>
      </c>
      <c r="E169" s="255">
        <f t="shared" si="122"/>
        <v>0.25</v>
      </c>
      <c r="F169" s="255">
        <f t="shared" si="122"/>
        <v>0.25</v>
      </c>
      <c r="G169" s="255">
        <f t="shared" si="122"/>
        <v>0.25</v>
      </c>
      <c r="H169" s="255">
        <f t="shared" si="122"/>
        <v>0.25</v>
      </c>
      <c r="I169" s="255">
        <f t="shared" si="122"/>
        <v>0.25</v>
      </c>
      <c r="J169" s="255">
        <f t="shared" si="122"/>
        <v>0.25</v>
      </c>
      <c r="K169" s="255">
        <f t="shared" si="122"/>
        <v>0.25</v>
      </c>
      <c r="L169" s="255">
        <f t="shared" si="122"/>
        <v>0.25</v>
      </c>
      <c r="M169" s="255">
        <f t="shared" si="122"/>
        <v>0.25</v>
      </c>
      <c r="N169" s="255">
        <f t="shared" si="122"/>
        <v>0.25</v>
      </c>
      <c r="O169" s="255">
        <f t="shared" si="122"/>
        <v>0.25</v>
      </c>
      <c r="P169" s="256">
        <f t="shared" si="122"/>
        <v>0.25</v>
      </c>
      <c r="Q169" s="50"/>
      <c r="R169" s="50"/>
      <c r="S169" s="50"/>
      <c r="T169" s="50"/>
      <c r="U169" s="50"/>
      <c r="V169" s="50"/>
      <c r="W169" s="50"/>
      <c r="X169" s="50"/>
      <c r="Y169" s="50"/>
      <c r="Z169" s="50"/>
    </row>
    <row r="170" spans="1:26" ht="15.75" customHeight="1" x14ac:dyDescent="0.35">
      <c r="A170" s="50"/>
      <c r="B170" s="53"/>
      <c r="C170" s="47"/>
      <c r="D170" s="248"/>
      <c r="E170" s="248"/>
      <c r="F170" s="248"/>
      <c r="G170" s="248"/>
      <c r="H170" s="248"/>
      <c r="I170" s="248"/>
      <c r="J170" s="248"/>
      <c r="K170" s="248"/>
      <c r="L170" s="248"/>
      <c r="M170" s="248"/>
      <c r="N170" s="248"/>
      <c r="O170" s="248"/>
      <c r="P170" s="249"/>
      <c r="Q170" s="50"/>
      <c r="R170" s="50"/>
      <c r="S170" s="50"/>
      <c r="T170" s="50"/>
      <c r="U170" s="50"/>
      <c r="V170" s="50"/>
      <c r="W170" s="50"/>
      <c r="X170" s="50"/>
      <c r="Y170" s="50"/>
      <c r="Z170" s="50"/>
    </row>
    <row r="171" spans="1:26" ht="15.75" customHeight="1" x14ac:dyDescent="0.35">
      <c r="A171" s="50"/>
      <c r="B171" s="46" t="s">
        <v>315</v>
      </c>
      <c r="C171" s="194"/>
      <c r="D171" s="245"/>
      <c r="E171" s="245"/>
      <c r="F171" s="245"/>
      <c r="G171" s="245"/>
      <c r="H171" s="245"/>
      <c r="I171" s="245"/>
      <c r="J171" s="245"/>
      <c r="K171" s="245"/>
      <c r="L171" s="245"/>
      <c r="M171" s="245"/>
      <c r="N171" s="245"/>
      <c r="O171" s="245"/>
      <c r="P171" s="250"/>
      <c r="Q171" s="50"/>
      <c r="R171" s="50"/>
      <c r="S171" s="50"/>
      <c r="T171" s="50"/>
      <c r="U171" s="50"/>
      <c r="V171" s="50"/>
      <c r="W171" s="50"/>
      <c r="X171" s="50"/>
      <c r="Y171" s="50"/>
      <c r="Z171" s="50"/>
    </row>
    <row r="172" spans="1:26" ht="15.75" customHeight="1" x14ac:dyDescent="0.35">
      <c r="A172" s="50"/>
      <c r="B172" s="53" t="s">
        <v>145</v>
      </c>
      <c r="C172" s="47"/>
      <c r="D172" s="121">
        <f t="shared" ref="D172:P172" si="123">D140*D156</f>
        <v>25</v>
      </c>
      <c r="E172" s="121">
        <f t="shared" si="123"/>
        <v>25</v>
      </c>
      <c r="F172" s="121">
        <f t="shared" si="123"/>
        <v>25</v>
      </c>
      <c r="G172" s="121">
        <f t="shared" si="123"/>
        <v>26.25</v>
      </c>
      <c r="H172" s="121">
        <f t="shared" si="123"/>
        <v>27.5625</v>
      </c>
      <c r="I172" s="121">
        <f t="shared" si="123"/>
        <v>28.940625000000001</v>
      </c>
      <c r="J172" s="121">
        <f t="shared" si="123"/>
        <v>30.387656250000003</v>
      </c>
      <c r="K172" s="121">
        <f t="shared" si="123"/>
        <v>31.907039062500004</v>
      </c>
      <c r="L172" s="121">
        <f t="shared" si="123"/>
        <v>33.502391015625008</v>
      </c>
      <c r="M172" s="121">
        <f t="shared" si="123"/>
        <v>35.177510566406262</v>
      </c>
      <c r="N172" s="121">
        <f t="shared" si="123"/>
        <v>36.936386094726579</v>
      </c>
      <c r="O172" s="121">
        <f t="shared" si="123"/>
        <v>38.783205399462908</v>
      </c>
      <c r="P172" s="251">
        <f t="shared" si="123"/>
        <v>40.722365669436051</v>
      </c>
      <c r="Q172" s="50"/>
      <c r="R172" s="50"/>
      <c r="S172" s="50"/>
      <c r="T172" s="50"/>
      <c r="U172" s="50"/>
      <c r="V172" s="50"/>
      <c r="W172" s="50"/>
      <c r="X172" s="50"/>
      <c r="Y172" s="50"/>
      <c r="Z172" s="50"/>
    </row>
    <row r="173" spans="1:26" ht="15.75" customHeight="1" x14ac:dyDescent="0.35">
      <c r="A173" s="50"/>
      <c r="B173" s="53" t="s">
        <v>146</v>
      </c>
      <c r="C173" s="47"/>
      <c r="D173" s="121">
        <f t="shared" ref="D173:P173" si="124">D141*D157</f>
        <v>25</v>
      </c>
      <c r="E173" s="121">
        <f t="shared" si="124"/>
        <v>25</v>
      </c>
      <c r="F173" s="121">
        <f t="shared" si="124"/>
        <v>25</v>
      </c>
      <c r="G173" s="121">
        <f t="shared" si="124"/>
        <v>26.25</v>
      </c>
      <c r="H173" s="121">
        <f t="shared" si="124"/>
        <v>27.5625</v>
      </c>
      <c r="I173" s="121">
        <f t="shared" si="124"/>
        <v>28.940625000000001</v>
      </c>
      <c r="J173" s="121">
        <f t="shared" si="124"/>
        <v>30.387656250000003</v>
      </c>
      <c r="K173" s="121">
        <f t="shared" si="124"/>
        <v>31.907039062500004</v>
      </c>
      <c r="L173" s="121">
        <f t="shared" si="124"/>
        <v>33.502391015625008</v>
      </c>
      <c r="M173" s="121">
        <f t="shared" si="124"/>
        <v>35.177510566406262</v>
      </c>
      <c r="N173" s="121">
        <f t="shared" si="124"/>
        <v>36.936386094726579</v>
      </c>
      <c r="O173" s="121">
        <f t="shared" si="124"/>
        <v>38.783205399462908</v>
      </c>
      <c r="P173" s="251">
        <f t="shared" si="124"/>
        <v>40.722365669436051</v>
      </c>
      <c r="Q173" s="50"/>
      <c r="R173" s="50"/>
      <c r="S173" s="50"/>
      <c r="T173" s="50"/>
      <c r="U173" s="50"/>
      <c r="V173" s="50"/>
      <c r="W173" s="50"/>
      <c r="X173" s="50"/>
      <c r="Y173" s="50"/>
      <c r="Z173" s="50"/>
    </row>
    <row r="174" spans="1:26" ht="15.75" customHeight="1" x14ac:dyDescent="0.35">
      <c r="A174" s="50"/>
      <c r="B174" s="53" t="s">
        <v>147</v>
      </c>
      <c r="C174" s="47"/>
      <c r="D174" s="121">
        <f t="shared" ref="D174:P174" si="125">D142*D158</f>
        <v>25</v>
      </c>
      <c r="E174" s="121">
        <f t="shared" si="125"/>
        <v>25</v>
      </c>
      <c r="F174" s="121">
        <f t="shared" si="125"/>
        <v>25</v>
      </c>
      <c r="G174" s="121">
        <f t="shared" si="125"/>
        <v>26.25</v>
      </c>
      <c r="H174" s="121">
        <f t="shared" si="125"/>
        <v>27.5625</v>
      </c>
      <c r="I174" s="121">
        <f t="shared" si="125"/>
        <v>28.940625000000001</v>
      </c>
      <c r="J174" s="121">
        <f t="shared" si="125"/>
        <v>30.387656250000003</v>
      </c>
      <c r="K174" s="121">
        <f t="shared" si="125"/>
        <v>31.907039062500004</v>
      </c>
      <c r="L174" s="121">
        <f t="shared" si="125"/>
        <v>33.502391015625008</v>
      </c>
      <c r="M174" s="121">
        <f t="shared" si="125"/>
        <v>35.177510566406262</v>
      </c>
      <c r="N174" s="121">
        <f t="shared" si="125"/>
        <v>36.936386094726579</v>
      </c>
      <c r="O174" s="121">
        <f t="shared" si="125"/>
        <v>38.783205399462908</v>
      </c>
      <c r="P174" s="251">
        <f t="shared" si="125"/>
        <v>40.722365669436051</v>
      </c>
      <c r="Q174" s="50"/>
      <c r="R174" s="50"/>
      <c r="S174" s="50"/>
      <c r="T174" s="50"/>
      <c r="U174" s="50"/>
      <c r="V174" s="50"/>
      <c r="W174" s="50"/>
      <c r="X174" s="50"/>
      <c r="Y174" s="50"/>
      <c r="Z174" s="50"/>
    </row>
    <row r="175" spans="1:26" ht="15.75" customHeight="1" x14ac:dyDescent="0.35">
      <c r="A175" s="50"/>
      <c r="B175" s="53" t="s">
        <v>148</v>
      </c>
      <c r="C175" s="47"/>
      <c r="D175" s="121">
        <f t="shared" ref="D175:P175" si="126">D143*D159</f>
        <v>25</v>
      </c>
      <c r="E175" s="121">
        <f t="shared" si="126"/>
        <v>25</v>
      </c>
      <c r="F175" s="121">
        <f t="shared" si="126"/>
        <v>25</v>
      </c>
      <c r="G175" s="121">
        <f t="shared" si="126"/>
        <v>26.25</v>
      </c>
      <c r="H175" s="121">
        <f t="shared" si="126"/>
        <v>27.5625</v>
      </c>
      <c r="I175" s="121">
        <f t="shared" si="126"/>
        <v>28.940625000000001</v>
      </c>
      <c r="J175" s="121">
        <f t="shared" si="126"/>
        <v>30.387656250000003</v>
      </c>
      <c r="K175" s="121">
        <f t="shared" si="126"/>
        <v>31.907039062500004</v>
      </c>
      <c r="L175" s="121">
        <f t="shared" si="126"/>
        <v>33.502391015625008</v>
      </c>
      <c r="M175" s="121">
        <f t="shared" si="126"/>
        <v>35.177510566406262</v>
      </c>
      <c r="N175" s="121">
        <f t="shared" si="126"/>
        <v>36.936386094726579</v>
      </c>
      <c r="O175" s="121">
        <f t="shared" si="126"/>
        <v>38.783205399462908</v>
      </c>
      <c r="P175" s="251">
        <f t="shared" si="126"/>
        <v>40.722365669436051</v>
      </c>
      <c r="Q175" s="50"/>
      <c r="R175" s="50"/>
      <c r="S175" s="50"/>
      <c r="T175" s="50"/>
      <c r="U175" s="50"/>
      <c r="V175" s="50"/>
      <c r="W175" s="50"/>
      <c r="X175" s="50"/>
      <c r="Y175" s="50"/>
      <c r="Z175" s="50"/>
    </row>
    <row r="176" spans="1:26" ht="15.75" customHeight="1" x14ac:dyDescent="0.35">
      <c r="A176" s="50"/>
      <c r="B176" s="53" t="s">
        <v>149</v>
      </c>
      <c r="C176" s="47"/>
      <c r="D176" s="121">
        <f t="shared" ref="D176:P176" si="127">D144*D160</f>
        <v>25</v>
      </c>
      <c r="E176" s="121">
        <f t="shared" si="127"/>
        <v>25</v>
      </c>
      <c r="F176" s="121">
        <f t="shared" si="127"/>
        <v>25</v>
      </c>
      <c r="G176" s="121">
        <f t="shared" si="127"/>
        <v>26.25</v>
      </c>
      <c r="H176" s="121">
        <f t="shared" si="127"/>
        <v>27.5625</v>
      </c>
      <c r="I176" s="121">
        <f t="shared" si="127"/>
        <v>28.940625000000001</v>
      </c>
      <c r="J176" s="121">
        <f t="shared" si="127"/>
        <v>30.387656250000003</v>
      </c>
      <c r="K176" s="121">
        <f t="shared" si="127"/>
        <v>31.907039062500004</v>
      </c>
      <c r="L176" s="121">
        <f t="shared" si="127"/>
        <v>33.502391015625008</v>
      </c>
      <c r="M176" s="121">
        <f t="shared" si="127"/>
        <v>35.177510566406262</v>
      </c>
      <c r="N176" s="121">
        <f t="shared" si="127"/>
        <v>36.936386094726579</v>
      </c>
      <c r="O176" s="121">
        <f t="shared" si="127"/>
        <v>38.783205399462908</v>
      </c>
      <c r="P176" s="251">
        <f t="shared" si="127"/>
        <v>40.722365669436051</v>
      </c>
      <c r="Q176" s="50"/>
      <c r="R176" s="50"/>
      <c r="S176" s="50"/>
      <c r="T176" s="50"/>
      <c r="U176" s="50"/>
      <c r="V176" s="50"/>
      <c r="W176" s="50"/>
      <c r="X176" s="50"/>
      <c r="Y176" s="50"/>
      <c r="Z176" s="50"/>
    </row>
    <row r="177" spans="1:26" ht="15.75" customHeight="1" x14ac:dyDescent="0.35">
      <c r="A177" s="50"/>
      <c r="B177" s="53" t="s">
        <v>198</v>
      </c>
      <c r="C177" s="47"/>
      <c r="D177" s="121">
        <f t="shared" ref="D177:P177" si="128">D145*D161</f>
        <v>25</v>
      </c>
      <c r="E177" s="121">
        <f t="shared" si="128"/>
        <v>25</v>
      </c>
      <c r="F177" s="121">
        <f t="shared" si="128"/>
        <v>25</v>
      </c>
      <c r="G177" s="121">
        <f t="shared" si="128"/>
        <v>26.25</v>
      </c>
      <c r="H177" s="121">
        <f t="shared" si="128"/>
        <v>27.5625</v>
      </c>
      <c r="I177" s="121">
        <f t="shared" si="128"/>
        <v>28.940625000000001</v>
      </c>
      <c r="J177" s="121">
        <f t="shared" si="128"/>
        <v>30.387656250000003</v>
      </c>
      <c r="K177" s="121">
        <f t="shared" si="128"/>
        <v>31.907039062500004</v>
      </c>
      <c r="L177" s="121">
        <f t="shared" si="128"/>
        <v>33.502391015625008</v>
      </c>
      <c r="M177" s="121">
        <f t="shared" si="128"/>
        <v>35.177510566406262</v>
      </c>
      <c r="N177" s="121">
        <f t="shared" si="128"/>
        <v>36.936386094726579</v>
      </c>
      <c r="O177" s="121">
        <f t="shared" si="128"/>
        <v>38.783205399462908</v>
      </c>
      <c r="P177" s="251">
        <f t="shared" si="128"/>
        <v>40.722365669436051</v>
      </c>
      <c r="Q177" s="50"/>
      <c r="R177" s="50"/>
      <c r="S177" s="50"/>
      <c r="T177" s="50"/>
      <c r="U177" s="50"/>
      <c r="V177" s="50"/>
      <c r="W177" s="50"/>
      <c r="X177" s="50"/>
      <c r="Y177" s="50"/>
      <c r="Z177" s="50"/>
    </row>
    <row r="178" spans="1:26" ht="15.75" customHeight="1" x14ac:dyDescent="0.35">
      <c r="A178" s="50"/>
      <c r="B178" s="53" t="s">
        <v>199</v>
      </c>
      <c r="C178" s="47"/>
      <c r="D178" s="121">
        <f t="shared" ref="D178:P178" si="129">D146*D162</f>
        <v>25</v>
      </c>
      <c r="E178" s="121">
        <f t="shared" si="129"/>
        <v>25</v>
      </c>
      <c r="F178" s="121">
        <f t="shared" si="129"/>
        <v>25</v>
      </c>
      <c r="G178" s="121">
        <f t="shared" si="129"/>
        <v>26.25</v>
      </c>
      <c r="H178" s="121">
        <f t="shared" si="129"/>
        <v>27.5625</v>
      </c>
      <c r="I178" s="121">
        <f t="shared" si="129"/>
        <v>28.940625000000001</v>
      </c>
      <c r="J178" s="121">
        <f t="shared" si="129"/>
        <v>30.387656250000003</v>
      </c>
      <c r="K178" s="121">
        <f t="shared" si="129"/>
        <v>31.907039062500004</v>
      </c>
      <c r="L178" s="121">
        <f t="shared" si="129"/>
        <v>33.502391015625008</v>
      </c>
      <c r="M178" s="121">
        <f t="shared" si="129"/>
        <v>35.177510566406262</v>
      </c>
      <c r="N178" s="121">
        <f t="shared" si="129"/>
        <v>36.936386094726579</v>
      </c>
      <c r="O178" s="121">
        <f t="shared" si="129"/>
        <v>38.783205399462908</v>
      </c>
      <c r="P178" s="251">
        <f t="shared" si="129"/>
        <v>40.722365669436051</v>
      </c>
      <c r="Q178" s="50"/>
      <c r="R178" s="50"/>
      <c r="S178" s="50"/>
      <c r="T178" s="50"/>
      <c r="U178" s="50"/>
      <c r="V178" s="50"/>
      <c r="W178" s="50"/>
      <c r="X178" s="50"/>
      <c r="Y178" s="50"/>
      <c r="Z178" s="50"/>
    </row>
    <row r="179" spans="1:26" ht="15.75" customHeight="1" x14ac:dyDescent="0.35">
      <c r="A179" s="50"/>
      <c r="B179" s="53" t="s">
        <v>152</v>
      </c>
      <c r="C179" s="47"/>
      <c r="D179" s="121">
        <f t="shared" ref="D179:P179" si="130">D147*D163</f>
        <v>25</v>
      </c>
      <c r="E179" s="121">
        <f t="shared" si="130"/>
        <v>25</v>
      </c>
      <c r="F179" s="121">
        <f t="shared" si="130"/>
        <v>25</v>
      </c>
      <c r="G179" s="121">
        <f t="shared" si="130"/>
        <v>26.25</v>
      </c>
      <c r="H179" s="121">
        <f t="shared" si="130"/>
        <v>27.5625</v>
      </c>
      <c r="I179" s="121">
        <f t="shared" si="130"/>
        <v>28.940625000000001</v>
      </c>
      <c r="J179" s="121">
        <f t="shared" si="130"/>
        <v>30.387656250000003</v>
      </c>
      <c r="K179" s="121">
        <f t="shared" si="130"/>
        <v>31.907039062500004</v>
      </c>
      <c r="L179" s="121">
        <f t="shared" si="130"/>
        <v>33.502391015625008</v>
      </c>
      <c r="M179" s="121">
        <f t="shared" si="130"/>
        <v>35.177510566406262</v>
      </c>
      <c r="N179" s="121">
        <f t="shared" si="130"/>
        <v>36.936386094726579</v>
      </c>
      <c r="O179" s="121">
        <f t="shared" si="130"/>
        <v>38.783205399462908</v>
      </c>
      <c r="P179" s="251">
        <f t="shared" si="130"/>
        <v>40.722365669436051</v>
      </c>
      <c r="Q179" s="50"/>
      <c r="R179" s="50"/>
      <c r="S179" s="50"/>
      <c r="T179" s="50"/>
      <c r="U179" s="50"/>
      <c r="V179" s="50"/>
      <c r="W179" s="50"/>
      <c r="X179" s="50"/>
      <c r="Y179" s="50"/>
      <c r="Z179" s="50"/>
    </row>
    <row r="180" spans="1:26" ht="15.75" customHeight="1" x14ac:dyDescent="0.35">
      <c r="A180" s="50"/>
      <c r="B180" s="53" t="s">
        <v>153</v>
      </c>
      <c r="C180" s="47"/>
      <c r="D180" s="121">
        <f t="shared" ref="D180:P180" si="131">D148*D164</f>
        <v>25</v>
      </c>
      <c r="E180" s="121">
        <f t="shared" si="131"/>
        <v>25</v>
      </c>
      <c r="F180" s="121">
        <f t="shared" si="131"/>
        <v>25</v>
      </c>
      <c r="G180" s="121">
        <f t="shared" si="131"/>
        <v>26.25</v>
      </c>
      <c r="H180" s="121">
        <f t="shared" si="131"/>
        <v>27.5625</v>
      </c>
      <c r="I180" s="121">
        <f t="shared" si="131"/>
        <v>28.940625000000001</v>
      </c>
      <c r="J180" s="121">
        <f t="shared" si="131"/>
        <v>30.387656250000003</v>
      </c>
      <c r="K180" s="121">
        <f t="shared" si="131"/>
        <v>31.907039062500004</v>
      </c>
      <c r="L180" s="121">
        <f t="shared" si="131"/>
        <v>33.502391015625008</v>
      </c>
      <c r="M180" s="121">
        <f t="shared" si="131"/>
        <v>35.177510566406262</v>
      </c>
      <c r="N180" s="121">
        <f t="shared" si="131"/>
        <v>36.936386094726579</v>
      </c>
      <c r="O180" s="121">
        <f t="shared" si="131"/>
        <v>38.783205399462908</v>
      </c>
      <c r="P180" s="251">
        <f t="shared" si="131"/>
        <v>40.722365669436051</v>
      </c>
      <c r="Q180" s="50"/>
      <c r="R180" s="50"/>
      <c r="S180" s="50"/>
      <c r="T180" s="50"/>
      <c r="U180" s="50"/>
      <c r="V180" s="50"/>
      <c r="W180" s="50"/>
      <c r="X180" s="50"/>
      <c r="Y180" s="50"/>
      <c r="Z180" s="50"/>
    </row>
    <row r="181" spans="1:26" ht="15.75" customHeight="1" x14ac:dyDescent="0.35">
      <c r="A181" s="50"/>
      <c r="B181" s="53" t="s">
        <v>154</v>
      </c>
      <c r="C181" s="47"/>
      <c r="D181" s="121">
        <f t="shared" ref="D181:P181" si="132">D149*D165</f>
        <v>25</v>
      </c>
      <c r="E181" s="121">
        <f t="shared" si="132"/>
        <v>25</v>
      </c>
      <c r="F181" s="121">
        <f t="shared" si="132"/>
        <v>25</v>
      </c>
      <c r="G181" s="121">
        <f t="shared" si="132"/>
        <v>26.25</v>
      </c>
      <c r="H181" s="121">
        <f t="shared" si="132"/>
        <v>27.5625</v>
      </c>
      <c r="I181" s="121">
        <f t="shared" si="132"/>
        <v>28.940625000000001</v>
      </c>
      <c r="J181" s="121">
        <f t="shared" si="132"/>
        <v>30.387656250000003</v>
      </c>
      <c r="K181" s="121">
        <f t="shared" si="132"/>
        <v>31.907039062500004</v>
      </c>
      <c r="L181" s="121">
        <f t="shared" si="132"/>
        <v>33.502391015625008</v>
      </c>
      <c r="M181" s="121">
        <f t="shared" si="132"/>
        <v>35.177510566406262</v>
      </c>
      <c r="N181" s="121">
        <f t="shared" si="132"/>
        <v>36.936386094726579</v>
      </c>
      <c r="O181" s="121">
        <f t="shared" si="132"/>
        <v>38.783205399462908</v>
      </c>
      <c r="P181" s="251">
        <f t="shared" si="132"/>
        <v>40.722365669436051</v>
      </c>
      <c r="Q181" s="50"/>
      <c r="R181" s="50"/>
      <c r="S181" s="50"/>
      <c r="T181" s="50"/>
      <c r="U181" s="50"/>
      <c r="V181" s="50"/>
      <c r="W181" s="50"/>
      <c r="X181" s="50"/>
      <c r="Y181" s="50"/>
      <c r="Z181" s="50"/>
    </row>
    <row r="182" spans="1:26" ht="15.75" customHeight="1" x14ac:dyDescent="0.35">
      <c r="A182" s="50"/>
      <c r="B182" s="53" t="s">
        <v>155</v>
      </c>
      <c r="C182" s="47"/>
      <c r="D182" s="121">
        <f t="shared" ref="D182:P182" si="133">D150*D166</f>
        <v>25</v>
      </c>
      <c r="E182" s="121">
        <f t="shared" si="133"/>
        <v>25</v>
      </c>
      <c r="F182" s="121">
        <f t="shared" si="133"/>
        <v>25</v>
      </c>
      <c r="G182" s="121">
        <f t="shared" si="133"/>
        <v>26.25</v>
      </c>
      <c r="H182" s="121">
        <f t="shared" si="133"/>
        <v>27.5625</v>
      </c>
      <c r="I182" s="121">
        <f t="shared" si="133"/>
        <v>28.940625000000001</v>
      </c>
      <c r="J182" s="121">
        <f t="shared" si="133"/>
        <v>30.387656250000003</v>
      </c>
      <c r="K182" s="121">
        <f t="shared" si="133"/>
        <v>31.907039062500004</v>
      </c>
      <c r="L182" s="121">
        <f t="shared" si="133"/>
        <v>33.502391015625008</v>
      </c>
      <c r="M182" s="121">
        <f t="shared" si="133"/>
        <v>35.177510566406262</v>
      </c>
      <c r="N182" s="121">
        <f t="shared" si="133"/>
        <v>36.936386094726579</v>
      </c>
      <c r="O182" s="121">
        <f t="shared" si="133"/>
        <v>38.783205399462908</v>
      </c>
      <c r="P182" s="251">
        <f t="shared" si="133"/>
        <v>40.722365669436051</v>
      </c>
      <c r="Q182" s="50"/>
      <c r="R182" s="50"/>
      <c r="S182" s="50"/>
      <c r="T182" s="50"/>
      <c r="U182" s="50"/>
      <c r="V182" s="50"/>
      <c r="W182" s="50"/>
      <c r="X182" s="50"/>
      <c r="Y182" s="50"/>
      <c r="Z182" s="50"/>
    </row>
    <row r="183" spans="1:26" ht="15.75" customHeight="1" x14ac:dyDescent="0.35">
      <c r="A183" s="50"/>
      <c r="B183" s="53" t="s">
        <v>156</v>
      </c>
      <c r="C183" s="47"/>
      <c r="D183" s="121">
        <f t="shared" ref="D183:P183" si="134">D151*D167</f>
        <v>25</v>
      </c>
      <c r="E183" s="121">
        <f t="shared" si="134"/>
        <v>25</v>
      </c>
      <c r="F183" s="121">
        <f t="shared" si="134"/>
        <v>25</v>
      </c>
      <c r="G183" s="121">
        <f t="shared" si="134"/>
        <v>26.25</v>
      </c>
      <c r="H183" s="121">
        <f t="shared" si="134"/>
        <v>27.5625</v>
      </c>
      <c r="I183" s="121">
        <f t="shared" si="134"/>
        <v>28.940625000000001</v>
      </c>
      <c r="J183" s="121">
        <f t="shared" si="134"/>
        <v>30.387656250000003</v>
      </c>
      <c r="K183" s="121">
        <f t="shared" si="134"/>
        <v>31.907039062500004</v>
      </c>
      <c r="L183" s="121">
        <f t="shared" si="134"/>
        <v>33.502391015625008</v>
      </c>
      <c r="M183" s="121">
        <f t="shared" si="134"/>
        <v>35.177510566406262</v>
      </c>
      <c r="N183" s="121">
        <f t="shared" si="134"/>
        <v>36.936386094726579</v>
      </c>
      <c r="O183" s="121">
        <f t="shared" si="134"/>
        <v>38.783205399462908</v>
      </c>
      <c r="P183" s="251">
        <f t="shared" si="134"/>
        <v>40.722365669436051</v>
      </c>
      <c r="Q183" s="50"/>
      <c r="R183" s="50"/>
      <c r="S183" s="50"/>
      <c r="T183" s="50"/>
      <c r="U183" s="50"/>
      <c r="V183" s="50"/>
      <c r="W183" s="50"/>
      <c r="X183" s="50"/>
      <c r="Y183" s="50"/>
      <c r="Z183" s="50"/>
    </row>
    <row r="184" spans="1:26" ht="15.75" customHeight="1" x14ac:dyDescent="0.35">
      <c r="A184" s="50"/>
      <c r="B184" s="161" t="s">
        <v>96</v>
      </c>
      <c r="C184" s="47"/>
      <c r="D184" s="121">
        <f t="shared" ref="D184:P184" si="135">D152*D168</f>
        <v>25</v>
      </c>
      <c r="E184" s="121">
        <f t="shared" si="135"/>
        <v>25</v>
      </c>
      <c r="F184" s="121">
        <f t="shared" si="135"/>
        <v>25</v>
      </c>
      <c r="G184" s="121">
        <f t="shared" si="135"/>
        <v>26.25</v>
      </c>
      <c r="H184" s="121">
        <f t="shared" si="135"/>
        <v>27.5625</v>
      </c>
      <c r="I184" s="121">
        <f t="shared" si="135"/>
        <v>28.940625000000001</v>
      </c>
      <c r="J184" s="121">
        <f t="shared" si="135"/>
        <v>30.387656250000003</v>
      </c>
      <c r="K184" s="121">
        <f t="shared" si="135"/>
        <v>31.907039062500004</v>
      </c>
      <c r="L184" s="121">
        <f t="shared" si="135"/>
        <v>33.502391015625008</v>
      </c>
      <c r="M184" s="121">
        <f t="shared" si="135"/>
        <v>35.177510566406262</v>
      </c>
      <c r="N184" s="121">
        <f t="shared" si="135"/>
        <v>36.936386094726579</v>
      </c>
      <c r="O184" s="121">
        <f t="shared" si="135"/>
        <v>38.783205399462908</v>
      </c>
      <c r="P184" s="251">
        <f t="shared" si="135"/>
        <v>40.722365669436051</v>
      </c>
      <c r="Q184" s="50"/>
      <c r="R184" s="50"/>
      <c r="S184" s="50"/>
      <c r="T184" s="50"/>
      <c r="U184" s="50"/>
      <c r="V184" s="50"/>
      <c r="W184" s="50"/>
      <c r="X184" s="50"/>
      <c r="Y184" s="50"/>
      <c r="Z184" s="50"/>
    </row>
    <row r="185" spans="1:26" ht="15.75" customHeight="1" x14ac:dyDescent="0.35">
      <c r="A185" s="50"/>
      <c r="B185" s="53" t="s">
        <v>158</v>
      </c>
      <c r="C185" s="47"/>
      <c r="D185" s="121">
        <f t="shared" ref="D185:P185" si="136">D153*D169</f>
        <v>25</v>
      </c>
      <c r="E185" s="121">
        <f t="shared" si="136"/>
        <v>25</v>
      </c>
      <c r="F185" s="121">
        <f t="shared" si="136"/>
        <v>25</v>
      </c>
      <c r="G185" s="121">
        <f t="shared" si="136"/>
        <v>26.25</v>
      </c>
      <c r="H185" s="121">
        <f t="shared" si="136"/>
        <v>27.5625</v>
      </c>
      <c r="I185" s="121">
        <f t="shared" si="136"/>
        <v>28.940625000000001</v>
      </c>
      <c r="J185" s="121">
        <f t="shared" si="136"/>
        <v>30.387656250000003</v>
      </c>
      <c r="K185" s="121">
        <f t="shared" si="136"/>
        <v>31.907039062500004</v>
      </c>
      <c r="L185" s="121">
        <f t="shared" si="136"/>
        <v>33.502391015625008</v>
      </c>
      <c r="M185" s="121">
        <f t="shared" si="136"/>
        <v>35.177510566406262</v>
      </c>
      <c r="N185" s="121">
        <f t="shared" si="136"/>
        <v>36.936386094726579</v>
      </c>
      <c r="O185" s="121">
        <f t="shared" si="136"/>
        <v>38.783205399462908</v>
      </c>
      <c r="P185" s="251">
        <f t="shared" si="136"/>
        <v>40.722365669436051</v>
      </c>
      <c r="Q185" s="50"/>
      <c r="R185" s="50"/>
      <c r="S185" s="50"/>
      <c r="T185" s="50"/>
      <c r="U185" s="50"/>
      <c r="V185" s="50"/>
      <c r="W185" s="50"/>
      <c r="X185" s="50"/>
      <c r="Y185" s="50"/>
      <c r="Z185" s="50"/>
    </row>
    <row r="186" spans="1:26" ht="15.75" customHeight="1" x14ac:dyDescent="0.35">
      <c r="A186" s="237"/>
      <c r="B186" s="238" t="s">
        <v>65</v>
      </c>
      <c r="C186" s="239"/>
      <c r="D186" s="252">
        <f t="shared" ref="D186:P186" si="137">SUM(D172:D185)</f>
        <v>350</v>
      </c>
      <c r="E186" s="252">
        <f t="shared" si="137"/>
        <v>350</v>
      </c>
      <c r="F186" s="252">
        <f t="shared" si="137"/>
        <v>350</v>
      </c>
      <c r="G186" s="252">
        <f t="shared" si="137"/>
        <v>367.5</v>
      </c>
      <c r="H186" s="252">
        <f t="shared" si="137"/>
        <v>385.875</v>
      </c>
      <c r="I186" s="252">
        <f t="shared" si="137"/>
        <v>405.1687500000001</v>
      </c>
      <c r="J186" s="252">
        <f t="shared" si="137"/>
        <v>425.42718750000012</v>
      </c>
      <c r="K186" s="252">
        <f t="shared" si="137"/>
        <v>446.6985468750002</v>
      </c>
      <c r="L186" s="252">
        <f t="shared" si="137"/>
        <v>469.03347421874997</v>
      </c>
      <c r="M186" s="252">
        <f t="shared" si="137"/>
        <v>492.4851479296878</v>
      </c>
      <c r="N186" s="252">
        <f t="shared" si="137"/>
        <v>517.10940532617212</v>
      </c>
      <c r="O186" s="252">
        <f t="shared" si="137"/>
        <v>542.96487559248078</v>
      </c>
      <c r="P186" s="253">
        <f t="shared" si="137"/>
        <v>570.11311937210473</v>
      </c>
      <c r="Q186" s="237"/>
      <c r="R186" s="237"/>
      <c r="S186" s="237"/>
      <c r="T186" s="237"/>
      <c r="U186" s="237"/>
      <c r="V186" s="237"/>
      <c r="W186" s="237"/>
      <c r="X186" s="237"/>
      <c r="Y186" s="237"/>
      <c r="Z186" s="237"/>
    </row>
    <row r="187" spans="1:26" ht="15.75" customHeight="1" x14ac:dyDescent="0.35">
      <c r="A187" s="50"/>
      <c r="B187" s="277" t="s">
        <v>137</v>
      </c>
      <c r="C187" s="280" t="s">
        <v>138</v>
      </c>
      <c r="D187" s="279">
        <f t="array" ref="D187">NPV(D35,D186:P186)</f>
        <v>3976.5684051398339</v>
      </c>
      <c r="E187" s="134"/>
      <c r="F187" s="134"/>
      <c r="G187" s="134"/>
      <c r="H187" s="134"/>
      <c r="I187" s="134"/>
      <c r="J187" s="134"/>
      <c r="K187" s="134"/>
      <c r="L187" s="134"/>
      <c r="M187" s="134"/>
      <c r="N187" s="134"/>
      <c r="O187" s="134"/>
      <c r="P187" s="136"/>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35" t="s">
        <v>55</v>
      </c>
      <c r="C189" s="38"/>
      <c r="D189" s="565" t="s">
        <v>129</v>
      </c>
      <c r="E189" s="552"/>
      <c r="F189" s="553"/>
      <c r="G189" s="112" t="s">
        <v>130</v>
      </c>
      <c r="H189" s="38" t="e">
        <f t="shared" ref="H189:P189" si="138">+G189+1</f>
        <v>#VALUE!</v>
      </c>
      <c r="I189" s="38" t="e">
        <f t="shared" si="138"/>
        <v>#VALUE!</v>
      </c>
      <c r="J189" s="38" t="e">
        <f t="shared" si="138"/>
        <v>#VALUE!</v>
      </c>
      <c r="K189" s="38" t="e">
        <f t="shared" si="138"/>
        <v>#VALUE!</v>
      </c>
      <c r="L189" s="38" t="e">
        <f t="shared" si="138"/>
        <v>#VALUE!</v>
      </c>
      <c r="M189" s="38" t="e">
        <f t="shared" si="138"/>
        <v>#VALUE!</v>
      </c>
      <c r="N189" s="38" t="e">
        <f t="shared" si="138"/>
        <v>#VALUE!</v>
      </c>
      <c r="O189" s="38" t="e">
        <f t="shared" si="138"/>
        <v>#VALUE!</v>
      </c>
      <c r="P189" s="39" t="e">
        <f t="shared" si="138"/>
        <v>#VALUE!</v>
      </c>
      <c r="Q189" s="50"/>
      <c r="R189" s="50"/>
      <c r="S189" s="50"/>
      <c r="T189" s="50"/>
      <c r="U189" s="50"/>
      <c r="V189" s="50"/>
      <c r="W189" s="50"/>
      <c r="X189" s="50"/>
      <c r="Y189" s="50"/>
      <c r="Z189" s="50"/>
    </row>
    <row r="190" spans="1:26" ht="15.75" customHeight="1" x14ac:dyDescent="0.35">
      <c r="A190" s="50"/>
      <c r="B190" s="40"/>
      <c r="C190" s="113"/>
      <c r="D190" s="159">
        <f>D38</f>
        <v>1</v>
      </c>
      <c r="E190" s="159">
        <f>+D190+1</f>
        <v>2</v>
      </c>
      <c r="F190" s="159">
        <f t="shared" ref="F190:P190" si="139">E190+1</f>
        <v>3</v>
      </c>
      <c r="G190" s="159">
        <f t="shared" si="139"/>
        <v>4</v>
      </c>
      <c r="H190" s="159">
        <f t="shared" si="139"/>
        <v>5</v>
      </c>
      <c r="I190" s="159">
        <f t="shared" si="139"/>
        <v>6</v>
      </c>
      <c r="J190" s="159">
        <f t="shared" si="139"/>
        <v>7</v>
      </c>
      <c r="K190" s="159">
        <f t="shared" si="139"/>
        <v>8</v>
      </c>
      <c r="L190" s="159">
        <f t="shared" si="139"/>
        <v>9</v>
      </c>
      <c r="M190" s="159">
        <f t="shared" si="139"/>
        <v>10</v>
      </c>
      <c r="N190" s="159">
        <f t="shared" si="139"/>
        <v>11</v>
      </c>
      <c r="O190" s="159">
        <f t="shared" si="139"/>
        <v>12</v>
      </c>
      <c r="P190" s="160">
        <f t="shared" si="139"/>
        <v>13</v>
      </c>
      <c r="Q190" s="50"/>
      <c r="R190" s="50"/>
      <c r="S190" s="50"/>
      <c r="T190" s="50"/>
      <c r="U190" s="50"/>
      <c r="V190" s="50"/>
      <c r="W190" s="50"/>
      <c r="X190" s="50"/>
      <c r="Y190" s="50"/>
      <c r="Z190" s="50"/>
    </row>
    <row r="191" spans="1:26" ht="15.75" customHeight="1" x14ac:dyDescent="0.35">
      <c r="A191" s="50"/>
      <c r="B191" s="46" t="s">
        <v>316</v>
      </c>
      <c r="C191" s="47"/>
      <c r="D191" s="49"/>
      <c r="E191" s="49"/>
      <c r="F191" s="49"/>
      <c r="G191" s="49"/>
      <c r="H191" s="49"/>
      <c r="I191" s="49"/>
      <c r="J191" s="49"/>
      <c r="K191" s="49"/>
      <c r="L191" s="49"/>
      <c r="M191" s="49"/>
      <c r="N191" s="50"/>
      <c r="O191" s="50"/>
      <c r="P191" s="115"/>
      <c r="Q191" s="50"/>
      <c r="R191" s="50"/>
      <c r="S191" s="50"/>
      <c r="T191" s="50"/>
      <c r="U191" s="50"/>
      <c r="V191" s="50"/>
      <c r="W191" s="50"/>
      <c r="X191" s="50"/>
      <c r="Y191" s="50"/>
      <c r="Z191" s="50"/>
    </row>
    <row r="192" spans="1:26" ht="15.75" customHeight="1" x14ac:dyDescent="0.35">
      <c r="A192" s="50"/>
      <c r="B192" s="53" t="s">
        <v>145</v>
      </c>
      <c r="C192" s="116" t="s">
        <v>109</v>
      </c>
      <c r="D192" s="195">
        <f>IFERROR(D72/'1.Red. Purch. Cost Surgical'!D88,"")</f>
        <v>0.1</v>
      </c>
      <c r="E192" s="195">
        <f>IFERROR(E72/'1.Red. Purch. Cost Surgical'!E88,"")</f>
        <v>0.1</v>
      </c>
      <c r="F192" s="195">
        <f>IFERROR(F72/'1.Red. Purch. Cost Surgical'!F88,"")</f>
        <v>0.1</v>
      </c>
      <c r="G192" s="195">
        <f>IFERROR(G72/'1.Red. Purch. Cost Surgical'!G88,"")</f>
        <v>0.10396039603960396</v>
      </c>
      <c r="H192" s="195">
        <f>IFERROR(H72/'1.Red. Purch. Cost Surgical'!H88,"")</f>
        <v>0.10807763944711303</v>
      </c>
      <c r="I192" s="195">
        <f>IFERROR(I72/'1.Red. Purch. Cost Surgical'!I88,"")</f>
        <v>0.11235794199947395</v>
      </c>
      <c r="J192" s="195">
        <f>IFERROR(J72/'1.Red. Purch. Cost Surgical'!J88,"")</f>
        <v>0.11680776148460163</v>
      </c>
      <c r="K192" s="195">
        <f>IFERROR(K72/'1.Red. Purch. Cost Surgical'!K88,"")</f>
        <v>0.12143381144438785</v>
      </c>
      <c r="L192" s="195">
        <f>IFERROR(L72/'1.Red. Purch. Cost Surgical'!L88,"")</f>
        <v>0.12624307130357154</v>
      </c>
      <c r="M192" s="195">
        <f>IFERROR(M72/'1.Red. Purch. Cost Surgical'!M88,"")</f>
        <v>0.13124279689975263</v>
      </c>
      <c r="N192" s="195">
        <f>IFERROR(N72/'1.Red. Purch. Cost Surgical'!N88,"")</f>
        <v>0.13644053143043591</v>
      </c>
      <c r="O192" s="195">
        <f>IFERROR(O72/'1.Red. Purch. Cost Surgical'!O88,"")</f>
        <v>0.14184411683362147</v>
      </c>
      <c r="P192" s="281">
        <f>IFERROR(P72/'1.Red. Purch. Cost Surgical'!P88,"")</f>
        <v>0.14746170561911143</v>
      </c>
      <c r="Q192" s="50"/>
      <c r="R192" s="50"/>
      <c r="S192" s="50"/>
      <c r="T192" s="50"/>
      <c r="U192" s="50"/>
      <c r="V192" s="50"/>
      <c r="W192" s="50"/>
      <c r="X192" s="50"/>
      <c r="Y192" s="50"/>
      <c r="Z192" s="50"/>
    </row>
    <row r="193" spans="1:26" ht="15.75" customHeight="1" x14ac:dyDescent="0.35">
      <c r="A193" s="50"/>
      <c r="B193" s="53" t="s">
        <v>146</v>
      </c>
      <c r="C193" s="116" t="s">
        <v>109</v>
      </c>
      <c r="D193" s="195">
        <f>IFERROR(D73/'1.Red. Purch. Cost Surgical'!D89,"")</f>
        <v>0.1</v>
      </c>
      <c r="E193" s="195">
        <f>IFERROR(E73/'1.Red. Purch. Cost Surgical'!E89,"")</f>
        <v>0.1</v>
      </c>
      <c r="F193" s="195">
        <f>IFERROR(F73/'1.Red. Purch. Cost Surgical'!F89,"")</f>
        <v>0.1</v>
      </c>
      <c r="G193" s="195">
        <f>IFERROR(G73/'1.Red. Purch. Cost Surgical'!G89,"")</f>
        <v>0.10396039603960396</v>
      </c>
      <c r="H193" s="195">
        <f>IFERROR(H73/'1.Red. Purch. Cost Surgical'!H89,"")</f>
        <v>0.10807763944711303</v>
      </c>
      <c r="I193" s="195">
        <f>IFERROR(I73/'1.Red. Purch. Cost Surgical'!I89,"")</f>
        <v>0.11235794199947395</v>
      </c>
      <c r="J193" s="195">
        <f>IFERROR(J73/'1.Red. Purch. Cost Surgical'!J89,"")</f>
        <v>0.11680776148460163</v>
      </c>
      <c r="K193" s="195">
        <f>IFERROR(K73/'1.Red. Purch. Cost Surgical'!K89,"")</f>
        <v>0.12143381144438785</v>
      </c>
      <c r="L193" s="195">
        <f>IFERROR(L73/'1.Red. Purch. Cost Surgical'!L89,"")</f>
        <v>0.12624307130357154</v>
      </c>
      <c r="M193" s="195">
        <f>IFERROR(M73/'1.Red. Purch. Cost Surgical'!M89,"")</f>
        <v>0.13124279689975263</v>
      </c>
      <c r="N193" s="195">
        <f>IFERROR(N73/'1.Red. Purch. Cost Surgical'!N89,"")</f>
        <v>0.13644053143043591</v>
      </c>
      <c r="O193" s="195">
        <f>IFERROR(O73/'1.Red. Purch. Cost Surgical'!O89,"")</f>
        <v>0.14184411683362147</v>
      </c>
      <c r="P193" s="281">
        <f>IFERROR(P73/'1.Red. Purch. Cost Surgical'!P89,"")</f>
        <v>0.14746170561911143</v>
      </c>
      <c r="Q193" s="50"/>
      <c r="R193" s="50"/>
      <c r="S193" s="50"/>
      <c r="T193" s="50"/>
      <c r="U193" s="50"/>
      <c r="V193" s="50"/>
      <c r="W193" s="50"/>
      <c r="X193" s="50"/>
      <c r="Y193" s="50"/>
      <c r="Z193" s="50"/>
    </row>
    <row r="194" spans="1:26" ht="15.75" customHeight="1" x14ac:dyDescent="0.35">
      <c r="A194" s="50"/>
      <c r="B194" s="53" t="s">
        <v>147</v>
      </c>
      <c r="C194" s="116" t="s">
        <v>109</v>
      </c>
      <c r="D194" s="195">
        <f>IFERROR(D74/'1.Red. Purch. Cost Surgical'!D90,"")</f>
        <v>0.1</v>
      </c>
      <c r="E194" s="195">
        <f>IFERROR(E74/'1.Red. Purch. Cost Surgical'!E90,"")</f>
        <v>0.1</v>
      </c>
      <c r="F194" s="195">
        <f>IFERROR(F74/'1.Red. Purch. Cost Surgical'!F90,"")</f>
        <v>0.1</v>
      </c>
      <c r="G194" s="195">
        <f>IFERROR(G74/'1.Red. Purch. Cost Surgical'!G90,"")</f>
        <v>0.10396039603960396</v>
      </c>
      <c r="H194" s="195">
        <f>IFERROR(H74/'1.Red. Purch. Cost Surgical'!H90,"")</f>
        <v>0.10807763944711303</v>
      </c>
      <c r="I194" s="195">
        <f>IFERROR(I74/'1.Red. Purch. Cost Surgical'!I90,"")</f>
        <v>0.11235794199947395</v>
      </c>
      <c r="J194" s="195">
        <f>IFERROR(J74/'1.Red. Purch. Cost Surgical'!J90,"")</f>
        <v>0.11680776148460163</v>
      </c>
      <c r="K194" s="195">
        <f>IFERROR(K74/'1.Red. Purch. Cost Surgical'!K90,"")</f>
        <v>0.12143381144438785</v>
      </c>
      <c r="L194" s="195">
        <f>IFERROR(L74/'1.Red. Purch. Cost Surgical'!L90,"")</f>
        <v>0.12624307130357154</v>
      </c>
      <c r="M194" s="195">
        <f>IFERROR(M74/'1.Red. Purch. Cost Surgical'!M90,"")</f>
        <v>0.13124279689975263</v>
      </c>
      <c r="N194" s="195">
        <f>IFERROR(N74/'1.Red. Purch. Cost Surgical'!N90,"")</f>
        <v>0.13644053143043591</v>
      </c>
      <c r="O194" s="195">
        <f>IFERROR(O74/'1.Red. Purch. Cost Surgical'!O90,"")</f>
        <v>0.14184411683362147</v>
      </c>
      <c r="P194" s="281">
        <f>IFERROR(P74/'1.Red. Purch. Cost Surgical'!P90,"")</f>
        <v>0.14746170561911143</v>
      </c>
      <c r="Q194" s="50"/>
      <c r="R194" s="50"/>
      <c r="S194" s="50"/>
      <c r="T194" s="50"/>
      <c r="U194" s="50"/>
      <c r="V194" s="50"/>
      <c r="W194" s="50"/>
      <c r="X194" s="50"/>
      <c r="Y194" s="50"/>
      <c r="Z194" s="50"/>
    </row>
    <row r="195" spans="1:26" ht="15.75" customHeight="1" x14ac:dyDescent="0.35">
      <c r="A195" s="50"/>
      <c r="B195" s="53" t="s">
        <v>148</v>
      </c>
      <c r="C195" s="116" t="s">
        <v>109</v>
      </c>
      <c r="D195" s="195">
        <f>IFERROR(D75/'1.Red. Purch. Cost Surgical'!D91,"")</f>
        <v>0.1</v>
      </c>
      <c r="E195" s="195">
        <f>IFERROR(E75/'1.Red. Purch. Cost Surgical'!E91,"")</f>
        <v>0.1</v>
      </c>
      <c r="F195" s="195">
        <f>IFERROR(F75/'1.Red. Purch. Cost Surgical'!F91,"")</f>
        <v>0.1</v>
      </c>
      <c r="G195" s="195">
        <f>IFERROR(G75/'1.Red. Purch. Cost Surgical'!G91,"")</f>
        <v>0.10396039603960396</v>
      </c>
      <c r="H195" s="195">
        <f>IFERROR(H75/'1.Red. Purch. Cost Surgical'!H91,"")</f>
        <v>0.10807763944711303</v>
      </c>
      <c r="I195" s="195">
        <f>IFERROR(I75/'1.Red. Purch. Cost Surgical'!I91,"")</f>
        <v>0.11235794199947395</v>
      </c>
      <c r="J195" s="195">
        <f>IFERROR(J75/'1.Red. Purch. Cost Surgical'!J91,"")</f>
        <v>0.11680776148460163</v>
      </c>
      <c r="K195" s="195">
        <f>IFERROR(K75/'1.Red. Purch. Cost Surgical'!K91,"")</f>
        <v>0.12143381144438785</v>
      </c>
      <c r="L195" s="195">
        <f>IFERROR(L75/'1.Red. Purch. Cost Surgical'!L91,"")</f>
        <v>0.12624307130357154</v>
      </c>
      <c r="M195" s="195">
        <f>IFERROR(M75/'1.Red. Purch. Cost Surgical'!M91,"")</f>
        <v>0.13124279689975263</v>
      </c>
      <c r="N195" s="195">
        <f>IFERROR(N75/'1.Red. Purch. Cost Surgical'!N91,"")</f>
        <v>0.13644053143043591</v>
      </c>
      <c r="O195" s="195">
        <f>IFERROR(O75/'1.Red. Purch. Cost Surgical'!O91,"")</f>
        <v>0.14184411683362147</v>
      </c>
      <c r="P195" s="281">
        <f>IFERROR(P75/'1.Red. Purch. Cost Surgical'!P91,"")</f>
        <v>0.14746170561911143</v>
      </c>
      <c r="Q195" s="50"/>
      <c r="R195" s="50"/>
      <c r="S195" s="50"/>
      <c r="T195" s="50"/>
      <c r="U195" s="50"/>
      <c r="V195" s="50"/>
      <c r="W195" s="50"/>
      <c r="X195" s="50"/>
      <c r="Y195" s="50"/>
      <c r="Z195" s="50"/>
    </row>
    <row r="196" spans="1:26" ht="15.75" customHeight="1" x14ac:dyDescent="0.35">
      <c r="A196" s="50"/>
      <c r="B196" s="53" t="s">
        <v>149</v>
      </c>
      <c r="C196" s="116" t="s">
        <v>109</v>
      </c>
      <c r="D196" s="195">
        <f>IFERROR(D76/'1.Red. Purch. Cost Surgical'!D92,"")</f>
        <v>0.1</v>
      </c>
      <c r="E196" s="195">
        <f>IFERROR(E76/'1.Red. Purch. Cost Surgical'!E92,"")</f>
        <v>0.1</v>
      </c>
      <c r="F196" s="195">
        <f>IFERROR(F76/'1.Red. Purch. Cost Surgical'!F92,"")</f>
        <v>0.1</v>
      </c>
      <c r="G196" s="195">
        <f>IFERROR(G76/'1.Red. Purch. Cost Surgical'!G92,"")</f>
        <v>0.10396039603960396</v>
      </c>
      <c r="H196" s="195">
        <f>IFERROR(H76/'1.Red. Purch. Cost Surgical'!H92,"")</f>
        <v>0.10807763944711303</v>
      </c>
      <c r="I196" s="195">
        <f>IFERROR(I76/'1.Red. Purch. Cost Surgical'!I92,"")</f>
        <v>0.11235794199947395</v>
      </c>
      <c r="J196" s="195">
        <f>IFERROR(J76/'1.Red. Purch. Cost Surgical'!J92,"")</f>
        <v>0.11680776148460163</v>
      </c>
      <c r="K196" s="195">
        <f>IFERROR(K76/'1.Red. Purch. Cost Surgical'!K92,"")</f>
        <v>0.12143381144438785</v>
      </c>
      <c r="L196" s="195">
        <f>IFERROR(L76/'1.Red. Purch. Cost Surgical'!L92,"")</f>
        <v>0.12624307130357154</v>
      </c>
      <c r="M196" s="195">
        <f>IFERROR(M76/'1.Red. Purch. Cost Surgical'!M92,"")</f>
        <v>0.13124279689975263</v>
      </c>
      <c r="N196" s="195">
        <f>IFERROR(N76/'1.Red. Purch. Cost Surgical'!N92,"")</f>
        <v>0.13644053143043591</v>
      </c>
      <c r="O196" s="195">
        <f>IFERROR(O76/'1.Red. Purch. Cost Surgical'!O92,"")</f>
        <v>0.14184411683362147</v>
      </c>
      <c r="P196" s="281">
        <f>IFERROR(P76/'1.Red. Purch. Cost Surgical'!P92,"")</f>
        <v>0.14746170561911143</v>
      </c>
      <c r="Q196" s="50"/>
      <c r="R196" s="50"/>
      <c r="S196" s="50"/>
      <c r="T196" s="50"/>
      <c r="U196" s="50"/>
      <c r="V196" s="50"/>
      <c r="W196" s="50"/>
      <c r="X196" s="50"/>
      <c r="Y196" s="50"/>
      <c r="Z196" s="50"/>
    </row>
    <row r="197" spans="1:26" ht="15.75" customHeight="1" x14ac:dyDescent="0.35">
      <c r="A197" s="50"/>
      <c r="B197" s="53" t="s">
        <v>198</v>
      </c>
      <c r="C197" s="116" t="s">
        <v>109</v>
      </c>
      <c r="D197" s="195">
        <f>IFERROR(D77/'1.Red. Purch. Cost Surgical'!D93,"")</f>
        <v>0.1</v>
      </c>
      <c r="E197" s="195">
        <f>IFERROR(E77/'1.Red. Purch. Cost Surgical'!E93,"")</f>
        <v>0.1</v>
      </c>
      <c r="F197" s="195">
        <f>IFERROR(F77/'1.Red. Purch. Cost Surgical'!F93,"")</f>
        <v>0.1</v>
      </c>
      <c r="G197" s="195">
        <f>IFERROR(G77/'1.Red. Purch. Cost Surgical'!G93,"")</f>
        <v>0.10396039603960396</v>
      </c>
      <c r="H197" s="195">
        <f>IFERROR(H77/'1.Red. Purch. Cost Surgical'!H93,"")</f>
        <v>0.10807763944711303</v>
      </c>
      <c r="I197" s="195">
        <f>IFERROR(I77/'1.Red. Purch. Cost Surgical'!I93,"")</f>
        <v>0.11235794199947395</v>
      </c>
      <c r="J197" s="195">
        <f>IFERROR(J77/'1.Red. Purch. Cost Surgical'!J93,"")</f>
        <v>0.11680776148460163</v>
      </c>
      <c r="K197" s="195">
        <f>IFERROR(K77/'1.Red. Purch. Cost Surgical'!K93,"")</f>
        <v>0.12143381144438785</v>
      </c>
      <c r="L197" s="195">
        <f>IFERROR(L77/'1.Red. Purch. Cost Surgical'!L93,"")</f>
        <v>0.12624307130357154</v>
      </c>
      <c r="M197" s="195">
        <f>IFERROR(M77/'1.Red. Purch. Cost Surgical'!M93,"")</f>
        <v>0.13124279689975263</v>
      </c>
      <c r="N197" s="195">
        <f>IFERROR(N77/'1.Red. Purch. Cost Surgical'!N93,"")</f>
        <v>0.13644053143043591</v>
      </c>
      <c r="O197" s="195">
        <f>IFERROR(O77/'1.Red. Purch. Cost Surgical'!O93,"")</f>
        <v>0.14184411683362147</v>
      </c>
      <c r="P197" s="281">
        <f>IFERROR(P77/'1.Red. Purch. Cost Surgical'!P93,"")</f>
        <v>0.14746170561911143</v>
      </c>
      <c r="Q197" s="50"/>
      <c r="R197" s="50"/>
      <c r="S197" s="50"/>
      <c r="T197" s="50"/>
      <c r="U197" s="50"/>
      <c r="V197" s="50"/>
      <c r="W197" s="50"/>
      <c r="X197" s="50"/>
      <c r="Y197" s="50"/>
      <c r="Z197" s="50"/>
    </row>
    <row r="198" spans="1:26" ht="15.75" customHeight="1" x14ac:dyDescent="0.35">
      <c r="A198" s="50"/>
      <c r="B198" s="53" t="s">
        <v>199</v>
      </c>
      <c r="C198" s="116" t="s">
        <v>109</v>
      </c>
      <c r="D198" s="195">
        <f>IFERROR(D78/'1.Red. Purch. Cost Surgical'!D94,"")</f>
        <v>0.1</v>
      </c>
      <c r="E198" s="195">
        <f>IFERROR(E78/'1.Red. Purch. Cost Surgical'!E94,"")</f>
        <v>0.1</v>
      </c>
      <c r="F198" s="195">
        <f>IFERROR(F78/'1.Red. Purch. Cost Surgical'!F94,"")</f>
        <v>0.1</v>
      </c>
      <c r="G198" s="195">
        <f>IFERROR(G78/'1.Red. Purch. Cost Surgical'!G94,"")</f>
        <v>0.10396039603960396</v>
      </c>
      <c r="H198" s="195">
        <f>IFERROR(H78/'1.Red. Purch. Cost Surgical'!H94,"")</f>
        <v>0.10807763944711303</v>
      </c>
      <c r="I198" s="195">
        <f>IFERROR(I78/'1.Red. Purch. Cost Surgical'!I94,"")</f>
        <v>0.11235794199947395</v>
      </c>
      <c r="J198" s="195">
        <f>IFERROR(J78/'1.Red. Purch. Cost Surgical'!J94,"")</f>
        <v>0.11680776148460163</v>
      </c>
      <c r="K198" s="195">
        <f>IFERROR(K78/'1.Red. Purch. Cost Surgical'!K94,"")</f>
        <v>0.12143381144438785</v>
      </c>
      <c r="L198" s="195">
        <f>IFERROR(L78/'1.Red. Purch. Cost Surgical'!L94,"")</f>
        <v>0.12624307130357154</v>
      </c>
      <c r="M198" s="195">
        <f>IFERROR(M78/'1.Red. Purch. Cost Surgical'!M94,"")</f>
        <v>0.13124279689975263</v>
      </c>
      <c r="N198" s="195">
        <f>IFERROR(N78/'1.Red. Purch. Cost Surgical'!N94,"")</f>
        <v>0.13644053143043591</v>
      </c>
      <c r="O198" s="195">
        <f>IFERROR(O78/'1.Red. Purch. Cost Surgical'!O94,"")</f>
        <v>0.14184411683362147</v>
      </c>
      <c r="P198" s="281">
        <f>IFERROR(P78/'1.Red. Purch. Cost Surgical'!P94,"")</f>
        <v>0.14746170561911143</v>
      </c>
      <c r="Q198" s="50"/>
      <c r="R198" s="50"/>
      <c r="S198" s="50"/>
      <c r="T198" s="50"/>
      <c r="U198" s="50"/>
      <c r="V198" s="50"/>
      <c r="W198" s="50"/>
      <c r="X198" s="50"/>
      <c r="Y198" s="50"/>
      <c r="Z198" s="50"/>
    </row>
    <row r="199" spans="1:26" ht="15.75" customHeight="1" x14ac:dyDescent="0.35">
      <c r="A199" s="50"/>
      <c r="B199" s="53" t="s">
        <v>152</v>
      </c>
      <c r="C199" s="116" t="s">
        <v>109</v>
      </c>
      <c r="D199" s="195">
        <f>IFERROR(D79/'1.Red. Purch. Cost Surgical'!D95,"")</f>
        <v>0.1</v>
      </c>
      <c r="E199" s="195">
        <f>IFERROR(E79/'1.Red. Purch. Cost Surgical'!E95,"")</f>
        <v>0.1</v>
      </c>
      <c r="F199" s="195">
        <f>IFERROR(F79/'1.Red. Purch. Cost Surgical'!F95,"")</f>
        <v>0.1</v>
      </c>
      <c r="G199" s="195">
        <f>IFERROR(G79/'1.Red. Purch. Cost Surgical'!G95,"")</f>
        <v>0.10396039603960396</v>
      </c>
      <c r="H199" s="195">
        <f>IFERROR(H79/'1.Red. Purch. Cost Surgical'!H95,"")</f>
        <v>0.10807763944711303</v>
      </c>
      <c r="I199" s="195">
        <f>IFERROR(I79/'1.Red. Purch. Cost Surgical'!I95,"")</f>
        <v>0.11235794199947395</v>
      </c>
      <c r="J199" s="195">
        <f>IFERROR(J79/'1.Red. Purch. Cost Surgical'!J95,"")</f>
        <v>0.11680776148460163</v>
      </c>
      <c r="K199" s="195">
        <f>IFERROR(K79/'1.Red. Purch. Cost Surgical'!K95,"")</f>
        <v>0.12143381144438785</v>
      </c>
      <c r="L199" s="195">
        <f>IFERROR(L79/'1.Red. Purch. Cost Surgical'!L95,"")</f>
        <v>0.12624307130357154</v>
      </c>
      <c r="M199" s="195">
        <f>IFERROR(M79/'1.Red. Purch. Cost Surgical'!M95,"")</f>
        <v>0.13124279689975263</v>
      </c>
      <c r="N199" s="195">
        <f>IFERROR(N79/'1.Red. Purch. Cost Surgical'!N95,"")</f>
        <v>0.13644053143043591</v>
      </c>
      <c r="O199" s="195">
        <f>IFERROR(O79/'1.Red. Purch. Cost Surgical'!O95,"")</f>
        <v>0.14184411683362147</v>
      </c>
      <c r="P199" s="281">
        <f>IFERROR(P79/'1.Red. Purch. Cost Surgical'!P95,"")</f>
        <v>0.14746170561911143</v>
      </c>
      <c r="Q199" s="50"/>
      <c r="R199" s="50"/>
      <c r="S199" s="50"/>
      <c r="T199" s="50"/>
      <c r="U199" s="50"/>
      <c r="V199" s="50"/>
      <c r="W199" s="50"/>
      <c r="X199" s="50"/>
      <c r="Y199" s="50"/>
      <c r="Z199" s="50"/>
    </row>
    <row r="200" spans="1:26" ht="15.75" customHeight="1" x14ac:dyDescent="0.35">
      <c r="A200" s="50"/>
      <c r="B200" s="53" t="s">
        <v>153</v>
      </c>
      <c r="C200" s="116" t="s">
        <v>109</v>
      </c>
      <c r="D200" s="195">
        <f>IFERROR(D80/'1.Red. Purch. Cost Surgical'!D96,"")</f>
        <v>0.1</v>
      </c>
      <c r="E200" s="195">
        <f>IFERROR(E80/'1.Red. Purch. Cost Surgical'!E96,"")</f>
        <v>0.1</v>
      </c>
      <c r="F200" s="195">
        <f>IFERROR(F80/'1.Red. Purch. Cost Surgical'!F96,"")</f>
        <v>0.1</v>
      </c>
      <c r="G200" s="195">
        <f>IFERROR(G80/'1.Red. Purch. Cost Surgical'!G96,"")</f>
        <v>0.10396039603960396</v>
      </c>
      <c r="H200" s="195">
        <f>IFERROR(H80/'1.Red. Purch. Cost Surgical'!H96,"")</f>
        <v>0.10807763944711303</v>
      </c>
      <c r="I200" s="195">
        <f>IFERROR(I80/'1.Red. Purch. Cost Surgical'!I96,"")</f>
        <v>0.11235794199947395</v>
      </c>
      <c r="J200" s="195">
        <f>IFERROR(J80/'1.Red. Purch. Cost Surgical'!J96,"")</f>
        <v>0.11680776148460163</v>
      </c>
      <c r="K200" s="195">
        <f>IFERROR(K80/'1.Red. Purch. Cost Surgical'!K96,"")</f>
        <v>0.12143381144438785</v>
      </c>
      <c r="L200" s="195">
        <f>IFERROR(L80/'1.Red. Purch. Cost Surgical'!L96,"")</f>
        <v>0.12624307130357154</v>
      </c>
      <c r="M200" s="195">
        <f>IFERROR(M80/'1.Red. Purch. Cost Surgical'!M96,"")</f>
        <v>0.13124279689975263</v>
      </c>
      <c r="N200" s="195">
        <f>IFERROR(N80/'1.Red. Purch. Cost Surgical'!N96,"")</f>
        <v>0.13644053143043591</v>
      </c>
      <c r="O200" s="195">
        <f>IFERROR(O80/'1.Red. Purch. Cost Surgical'!O96,"")</f>
        <v>0.14184411683362147</v>
      </c>
      <c r="P200" s="281">
        <f>IFERROR(P80/'1.Red. Purch. Cost Surgical'!P96,"")</f>
        <v>0.14746170561911143</v>
      </c>
      <c r="Q200" s="50"/>
      <c r="R200" s="50"/>
      <c r="S200" s="50"/>
      <c r="T200" s="50"/>
      <c r="U200" s="50"/>
      <c r="V200" s="50"/>
      <c r="W200" s="50"/>
      <c r="X200" s="50"/>
      <c r="Y200" s="50"/>
      <c r="Z200" s="50"/>
    </row>
    <row r="201" spans="1:26" ht="15.75" customHeight="1" x14ac:dyDescent="0.35">
      <c r="A201" s="50"/>
      <c r="B201" s="53" t="s">
        <v>154</v>
      </c>
      <c r="C201" s="116" t="s">
        <v>109</v>
      </c>
      <c r="D201" s="195">
        <f>IFERROR(D81/'1.Red. Purch. Cost Surgical'!D97,"")</f>
        <v>0.1</v>
      </c>
      <c r="E201" s="195">
        <f>IFERROR(E81/'1.Red. Purch. Cost Surgical'!E97,"")</f>
        <v>0.1</v>
      </c>
      <c r="F201" s="195">
        <f>IFERROR(F81/'1.Red. Purch. Cost Surgical'!F97,"")</f>
        <v>0.1</v>
      </c>
      <c r="G201" s="195">
        <f>IFERROR(G81/'1.Red. Purch. Cost Surgical'!G97,"")</f>
        <v>0.10396039603960396</v>
      </c>
      <c r="H201" s="195">
        <f>IFERROR(H81/'1.Red. Purch. Cost Surgical'!H97,"")</f>
        <v>0.10807763944711303</v>
      </c>
      <c r="I201" s="195">
        <f>IFERROR(I81/'1.Red. Purch. Cost Surgical'!I97,"")</f>
        <v>0.11235794199947395</v>
      </c>
      <c r="J201" s="195">
        <f>IFERROR(J81/'1.Red. Purch. Cost Surgical'!J97,"")</f>
        <v>0.11680776148460163</v>
      </c>
      <c r="K201" s="195">
        <f>IFERROR(K81/'1.Red. Purch. Cost Surgical'!K97,"")</f>
        <v>0.12143381144438785</v>
      </c>
      <c r="L201" s="195">
        <f>IFERROR(L81/'1.Red. Purch. Cost Surgical'!L97,"")</f>
        <v>0.12624307130357154</v>
      </c>
      <c r="M201" s="195">
        <f>IFERROR(M81/'1.Red. Purch. Cost Surgical'!M97,"")</f>
        <v>0.13124279689975263</v>
      </c>
      <c r="N201" s="195">
        <f>IFERROR(N81/'1.Red. Purch. Cost Surgical'!N97,"")</f>
        <v>0.13644053143043591</v>
      </c>
      <c r="O201" s="195">
        <f>IFERROR(O81/'1.Red. Purch. Cost Surgical'!O97,"")</f>
        <v>0.14184411683362147</v>
      </c>
      <c r="P201" s="281">
        <f>IFERROR(P81/'1.Red. Purch. Cost Surgical'!P97,"")</f>
        <v>0.14746170561911143</v>
      </c>
      <c r="Q201" s="50"/>
      <c r="R201" s="50"/>
      <c r="S201" s="50"/>
      <c r="T201" s="50"/>
      <c r="U201" s="50"/>
      <c r="V201" s="50"/>
      <c r="W201" s="50"/>
      <c r="X201" s="50"/>
      <c r="Y201" s="50"/>
      <c r="Z201" s="50"/>
    </row>
    <row r="202" spans="1:26" ht="15.75" customHeight="1" x14ac:dyDescent="0.35">
      <c r="A202" s="50"/>
      <c r="B202" s="53" t="s">
        <v>155</v>
      </c>
      <c r="C202" s="116" t="s">
        <v>109</v>
      </c>
      <c r="D202" s="195">
        <f>IFERROR(D82/'1.Red. Purch. Cost Surgical'!D98,"")</f>
        <v>0.1</v>
      </c>
      <c r="E202" s="195">
        <f>IFERROR(E82/'1.Red. Purch. Cost Surgical'!E98,"")</f>
        <v>0.1</v>
      </c>
      <c r="F202" s="195">
        <f>IFERROR(F82/'1.Red. Purch. Cost Surgical'!F98,"")</f>
        <v>0.1</v>
      </c>
      <c r="G202" s="195">
        <f>IFERROR(G82/'1.Red. Purch. Cost Surgical'!G98,"")</f>
        <v>0.10396039603960396</v>
      </c>
      <c r="H202" s="195">
        <f>IFERROR(H82/'1.Red. Purch. Cost Surgical'!H98,"")</f>
        <v>0.10807763944711303</v>
      </c>
      <c r="I202" s="195">
        <f>IFERROR(I82/'1.Red. Purch. Cost Surgical'!I98,"")</f>
        <v>0.11235794199947395</v>
      </c>
      <c r="J202" s="195">
        <f>IFERROR(J82/'1.Red. Purch. Cost Surgical'!J98,"")</f>
        <v>0.11680776148460163</v>
      </c>
      <c r="K202" s="195">
        <f>IFERROR(K82/'1.Red. Purch. Cost Surgical'!K98,"")</f>
        <v>0.12143381144438785</v>
      </c>
      <c r="L202" s="195">
        <f>IFERROR(L82/'1.Red. Purch. Cost Surgical'!L98,"")</f>
        <v>0.12624307130357154</v>
      </c>
      <c r="M202" s="195">
        <f>IFERROR(M82/'1.Red. Purch. Cost Surgical'!M98,"")</f>
        <v>0.13124279689975263</v>
      </c>
      <c r="N202" s="195">
        <f>IFERROR(N82/'1.Red. Purch. Cost Surgical'!N98,"")</f>
        <v>0.13644053143043591</v>
      </c>
      <c r="O202" s="195">
        <f>IFERROR(O82/'1.Red. Purch. Cost Surgical'!O98,"")</f>
        <v>0.14184411683362147</v>
      </c>
      <c r="P202" s="281">
        <f>IFERROR(P82/'1.Red. Purch. Cost Surgical'!P98,"")</f>
        <v>0.14746170561911143</v>
      </c>
      <c r="Q202" s="50"/>
      <c r="R202" s="50"/>
      <c r="S202" s="50"/>
      <c r="T202" s="50"/>
      <c r="U202" s="50"/>
      <c r="V202" s="50"/>
      <c r="W202" s="50"/>
      <c r="X202" s="50"/>
      <c r="Y202" s="50"/>
      <c r="Z202" s="50"/>
    </row>
    <row r="203" spans="1:26" ht="15.75" customHeight="1" x14ac:dyDescent="0.35">
      <c r="A203" s="50"/>
      <c r="B203" s="53" t="s">
        <v>156</v>
      </c>
      <c r="C203" s="116" t="s">
        <v>109</v>
      </c>
      <c r="D203" s="195">
        <f>IFERROR(D83/'1.Red. Purch. Cost Surgical'!D99,"")</f>
        <v>0.1</v>
      </c>
      <c r="E203" s="195">
        <f>IFERROR(E83/'1.Red. Purch. Cost Surgical'!E99,"")</f>
        <v>0.1</v>
      </c>
      <c r="F203" s="195">
        <f>IFERROR(F83/'1.Red. Purch. Cost Surgical'!F99,"")</f>
        <v>0.1</v>
      </c>
      <c r="G203" s="195">
        <f>IFERROR(G83/'1.Red. Purch. Cost Surgical'!G99,"")</f>
        <v>0.10396039603960396</v>
      </c>
      <c r="H203" s="195">
        <f>IFERROR(H83/'1.Red. Purch. Cost Surgical'!H99,"")</f>
        <v>0.10807763944711303</v>
      </c>
      <c r="I203" s="195">
        <f>IFERROR(I83/'1.Red. Purch. Cost Surgical'!I99,"")</f>
        <v>0.11235794199947395</v>
      </c>
      <c r="J203" s="195">
        <f>IFERROR(J83/'1.Red. Purch. Cost Surgical'!J99,"")</f>
        <v>0.11680776148460163</v>
      </c>
      <c r="K203" s="195">
        <f>IFERROR(K83/'1.Red. Purch. Cost Surgical'!K99,"")</f>
        <v>0.12143381144438785</v>
      </c>
      <c r="L203" s="195">
        <f>IFERROR(L83/'1.Red. Purch. Cost Surgical'!L99,"")</f>
        <v>0.12624307130357154</v>
      </c>
      <c r="M203" s="195">
        <f>IFERROR(M83/'1.Red. Purch. Cost Surgical'!M99,"")</f>
        <v>0.13124279689975263</v>
      </c>
      <c r="N203" s="195">
        <f>IFERROR(N83/'1.Red. Purch. Cost Surgical'!N99,"")</f>
        <v>0.13644053143043591</v>
      </c>
      <c r="O203" s="195">
        <f>IFERROR(O83/'1.Red. Purch. Cost Surgical'!O99,"")</f>
        <v>0.14184411683362147</v>
      </c>
      <c r="P203" s="281">
        <f>IFERROR(P83/'1.Red. Purch. Cost Surgical'!P99,"")</f>
        <v>0.14746170561911143</v>
      </c>
      <c r="Q203" s="50"/>
      <c r="R203" s="50"/>
      <c r="S203" s="50"/>
      <c r="T203" s="50"/>
      <c r="U203" s="50"/>
      <c r="V203" s="50"/>
      <c r="W203" s="50"/>
      <c r="X203" s="50"/>
      <c r="Y203" s="50"/>
      <c r="Z203" s="50"/>
    </row>
    <row r="204" spans="1:26" ht="15.75" customHeight="1" x14ac:dyDescent="0.35">
      <c r="A204" s="50"/>
      <c r="B204" s="161" t="s">
        <v>96</v>
      </c>
      <c r="C204" s="116" t="s">
        <v>109</v>
      </c>
      <c r="D204" s="195">
        <f>IFERROR(D84/'1.Red. Purch. Cost Surgical'!D100,"")</f>
        <v>0.1</v>
      </c>
      <c r="E204" s="195">
        <f>IFERROR(E84/'1.Red. Purch. Cost Surgical'!E100,"")</f>
        <v>0.1</v>
      </c>
      <c r="F204" s="195">
        <f>IFERROR(F84/'1.Red. Purch. Cost Surgical'!F100,"")</f>
        <v>0.1</v>
      </c>
      <c r="G204" s="195">
        <f>IFERROR(G84/'1.Red. Purch. Cost Surgical'!G100,"")</f>
        <v>0.10396039603960396</v>
      </c>
      <c r="H204" s="195">
        <f>IFERROR(H84/'1.Red. Purch. Cost Surgical'!H100,"")</f>
        <v>0.10807763944711303</v>
      </c>
      <c r="I204" s="195">
        <f>IFERROR(I84/'1.Red. Purch. Cost Surgical'!I100,"")</f>
        <v>0.11235794199947395</v>
      </c>
      <c r="J204" s="195">
        <f>IFERROR(J84/'1.Red. Purch. Cost Surgical'!J100,"")</f>
        <v>0.11680776148460163</v>
      </c>
      <c r="K204" s="195">
        <f>IFERROR(K84/'1.Red. Purch. Cost Surgical'!K100,"")</f>
        <v>0.12143381144438785</v>
      </c>
      <c r="L204" s="195">
        <f>IFERROR(L84/'1.Red. Purch. Cost Surgical'!L100,"")</f>
        <v>0.12624307130357154</v>
      </c>
      <c r="M204" s="195">
        <f>IFERROR(M84/'1.Red. Purch. Cost Surgical'!M100,"")</f>
        <v>0.13124279689975263</v>
      </c>
      <c r="N204" s="195">
        <f>IFERROR(N84/'1.Red. Purch. Cost Surgical'!N100,"")</f>
        <v>0.13644053143043591</v>
      </c>
      <c r="O204" s="195">
        <f>IFERROR(O84/'1.Red. Purch. Cost Surgical'!O100,"")</f>
        <v>0.14184411683362147</v>
      </c>
      <c r="P204" s="281">
        <f>IFERROR(P84/'1.Red. Purch. Cost Surgical'!P100,"")</f>
        <v>0.14746170561911143</v>
      </c>
      <c r="Q204" s="50"/>
      <c r="R204" s="50"/>
      <c r="S204" s="50"/>
      <c r="T204" s="50"/>
      <c r="U204" s="50"/>
      <c r="V204" s="50"/>
      <c r="W204" s="50"/>
      <c r="X204" s="50"/>
      <c r="Y204" s="50"/>
      <c r="Z204" s="50"/>
    </row>
    <row r="205" spans="1:26" ht="15.75" customHeight="1" x14ac:dyDescent="0.35">
      <c r="A205" s="50"/>
      <c r="B205" s="53" t="s">
        <v>158</v>
      </c>
      <c r="C205" s="116" t="s">
        <v>109</v>
      </c>
      <c r="D205" s="195">
        <f>IFERROR(D85/'1.Red. Purch. Cost Surgical'!D101,"")</f>
        <v>0.1</v>
      </c>
      <c r="E205" s="195">
        <f>IFERROR(E85/'1.Red. Purch. Cost Surgical'!E101,"")</f>
        <v>0.1</v>
      </c>
      <c r="F205" s="195">
        <f>IFERROR(F85/'1.Red. Purch. Cost Surgical'!F101,"")</f>
        <v>0.1</v>
      </c>
      <c r="G205" s="195">
        <f>IFERROR(G85/'1.Red. Purch. Cost Surgical'!G101,"")</f>
        <v>0.10396039603960396</v>
      </c>
      <c r="H205" s="195">
        <f>IFERROR(H85/'1.Red. Purch. Cost Surgical'!H101,"")</f>
        <v>0.10807763944711303</v>
      </c>
      <c r="I205" s="195">
        <f>IFERROR(I85/'1.Red. Purch. Cost Surgical'!I101,"")</f>
        <v>0.11235794199947395</v>
      </c>
      <c r="J205" s="195">
        <f>IFERROR(J85/'1.Red. Purch. Cost Surgical'!J101,"")</f>
        <v>0.11680776148460163</v>
      </c>
      <c r="K205" s="195">
        <f>IFERROR(K85/'1.Red. Purch. Cost Surgical'!K101,"")</f>
        <v>0.12143381144438785</v>
      </c>
      <c r="L205" s="195">
        <f>IFERROR(L85/'1.Red. Purch. Cost Surgical'!L101,"")</f>
        <v>0.12624307130357154</v>
      </c>
      <c r="M205" s="195">
        <f>IFERROR(M85/'1.Red. Purch. Cost Surgical'!M101,"")</f>
        <v>0.13124279689975263</v>
      </c>
      <c r="N205" s="195">
        <f>IFERROR(N85/'1.Red. Purch. Cost Surgical'!N101,"")</f>
        <v>0.13644053143043591</v>
      </c>
      <c r="O205" s="195">
        <f>IFERROR(O85/'1.Red. Purch. Cost Surgical'!O101,"")</f>
        <v>0.14184411683362147</v>
      </c>
      <c r="P205" s="281">
        <f>IFERROR(P85/'1.Red. Purch. Cost Surgical'!P101,"")</f>
        <v>0.14746170561911143</v>
      </c>
      <c r="Q205" s="50"/>
      <c r="R205" s="50"/>
      <c r="S205" s="50"/>
      <c r="T205" s="50"/>
      <c r="U205" s="50"/>
      <c r="V205" s="50"/>
      <c r="W205" s="50"/>
      <c r="X205" s="50"/>
      <c r="Y205" s="50"/>
      <c r="Z205" s="50"/>
    </row>
    <row r="206" spans="1:26" ht="15.75" customHeight="1" x14ac:dyDescent="0.35">
      <c r="A206" s="50"/>
      <c r="B206" s="198" t="s">
        <v>221</v>
      </c>
      <c r="C206" s="282" t="s">
        <v>109</v>
      </c>
      <c r="D206" s="283">
        <f>IFERROR(D86/'1.Red. Purch. Cost Surgical'!D102,"")</f>
        <v>0.1</v>
      </c>
      <c r="E206" s="283">
        <f>IFERROR(E86/'1.Red. Purch. Cost Surgical'!E102,"")</f>
        <v>0.1</v>
      </c>
      <c r="F206" s="283">
        <f>IFERROR(F86/'1.Red. Purch. Cost Surgical'!F102,"")</f>
        <v>0.1</v>
      </c>
      <c r="G206" s="283">
        <f>IFERROR(G86/'1.Red. Purch. Cost Surgical'!G102,"")</f>
        <v>0.10396039603960396</v>
      </c>
      <c r="H206" s="283">
        <f>IFERROR(H86/'1.Red. Purch. Cost Surgical'!H102,"")</f>
        <v>0.108077639447113</v>
      </c>
      <c r="I206" s="283">
        <f>IFERROR(I86/'1.Red. Purch. Cost Surgical'!I102,"")</f>
        <v>0.11235794199947401</v>
      </c>
      <c r="J206" s="283">
        <f>IFERROR(J86/'1.Red. Purch. Cost Surgical'!J102,"")</f>
        <v>0.11680776148460169</v>
      </c>
      <c r="K206" s="283">
        <f>IFERROR(K86/'1.Red. Purch. Cost Surgical'!K102,"")</f>
        <v>0.12143381144438789</v>
      </c>
      <c r="L206" s="283">
        <f>IFERROR(L86/'1.Red. Purch. Cost Surgical'!L102,"")</f>
        <v>0.12624307130357151</v>
      </c>
      <c r="M206" s="283">
        <f>IFERROR(M86/'1.Red. Purch. Cost Surgical'!M102,"")</f>
        <v>0.13124279689975263</v>
      </c>
      <c r="N206" s="283">
        <f>IFERROR(N86/'1.Red. Purch. Cost Surgical'!N102,"")</f>
        <v>0.13644053143043586</v>
      </c>
      <c r="O206" s="283">
        <f>IFERROR(O86/'1.Red. Purch. Cost Surgical'!O102,"")</f>
        <v>0.1418441168336215</v>
      </c>
      <c r="P206" s="284">
        <f>IFERROR(P86/'1.Red. Purch. Cost Surgical'!P102,"")</f>
        <v>0.14746170561911143</v>
      </c>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120"/>
      <c r="G208" s="50"/>
      <c r="H208" s="50"/>
      <c r="I208" s="50"/>
      <c r="J208" s="50"/>
      <c r="K208" s="50"/>
      <c r="L208" s="50"/>
      <c r="M208" s="50"/>
      <c r="N208" s="50"/>
      <c r="O208" s="50"/>
      <c r="P208" s="120">
        <f>P86+'2.Red.Waste&amp;Credit Vascular'!P75+'2.Red.Waste&amp;CreditPatient Care'!P101</f>
        <v>6949.1889056684231</v>
      </c>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120">
        <f>'1.Red. Purch. Cost Patient Care'!P84+'OLD Purchase Cost Surgica'!P113+'1.Red. Purchase Cost Vasc.'!P67</f>
        <v>8108808.6846737545</v>
      </c>
      <c r="Q209" s="50"/>
      <c r="R209" s="50"/>
      <c r="S209" s="50"/>
      <c r="T209" s="50"/>
      <c r="U209" s="50"/>
      <c r="V209" s="50"/>
      <c r="W209" s="50"/>
      <c r="X209" s="50"/>
      <c r="Y209" s="50"/>
      <c r="Z209" s="50"/>
    </row>
    <row r="210" spans="1:26" ht="15.75" customHeight="1" x14ac:dyDescent="0.35">
      <c r="A210" s="50"/>
      <c r="B210" s="50"/>
      <c r="C210" s="63"/>
      <c r="D210" s="50"/>
      <c r="E210" s="50"/>
      <c r="F210" s="128"/>
      <c r="G210" s="50"/>
      <c r="H210" s="50"/>
      <c r="I210" s="50"/>
      <c r="J210" s="50"/>
      <c r="K210" s="50"/>
      <c r="L210" s="50"/>
      <c r="M210" s="50"/>
      <c r="N210" s="50"/>
      <c r="O210" s="50"/>
      <c r="P210" s="128">
        <f>P208/P209</f>
        <v>8.5699258373217045E-4</v>
      </c>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63"/>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63"/>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63"/>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63"/>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63"/>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63"/>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63"/>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63"/>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63"/>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63"/>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63"/>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63"/>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63"/>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63"/>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63"/>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63"/>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63"/>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63"/>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63"/>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63"/>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63"/>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63"/>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63"/>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63"/>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63"/>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63"/>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63"/>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63"/>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63"/>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63"/>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63"/>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63"/>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63"/>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63"/>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63"/>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63"/>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63"/>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63"/>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63"/>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63"/>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63"/>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63"/>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63"/>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63"/>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63"/>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63"/>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63"/>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63"/>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63"/>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63"/>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63"/>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
      <c r="C269" s="262"/>
    </row>
    <row r="270" spans="1:26" ht="15.75" customHeight="1" x14ac:dyDescent="0.3">
      <c r="C270" s="262"/>
    </row>
    <row r="271" spans="1:26" ht="15.75" customHeight="1" x14ac:dyDescent="0.3">
      <c r="C271" s="262"/>
    </row>
    <row r="272" spans="1:26" ht="15.75" customHeight="1" x14ac:dyDescent="0.3">
      <c r="C272" s="262"/>
    </row>
    <row r="273" spans="3:3" ht="15.75" customHeight="1" x14ac:dyDescent="0.3">
      <c r="C273" s="262"/>
    </row>
    <row r="274" spans="3:3" ht="15.75" customHeight="1" x14ac:dyDescent="0.3">
      <c r="C274" s="262"/>
    </row>
    <row r="275" spans="3:3" ht="15.75" customHeight="1" x14ac:dyDescent="0.3">
      <c r="C275" s="262"/>
    </row>
    <row r="276" spans="3:3" ht="15.75" customHeight="1" x14ac:dyDescent="0.3">
      <c r="C276" s="262"/>
    </row>
    <row r="277" spans="3:3" ht="15.75" customHeight="1" x14ac:dyDescent="0.3">
      <c r="C277" s="262"/>
    </row>
    <row r="278" spans="3:3" ht="15.75" customHeight="1" x14ac:dyDescent="0.3">
      <c r="C278" s="262"/>
    </row>
    <row r="279" spans="3:3" ht="15.75" customHeight="1" x14ac:dyDescent="0.3">
      <c r="C279" s="262"/>
    </row>
    <row r="280" spans="3:3" ht="15.75" customHeight="1" x14ac:dyDescent="0.3">
      <c r="C280" s="262"/>
    </row>
    <row r="281" spans="3:3" ht="15.75" customHeight="1" x14ac:dyDescent="0.3">
      <c r="C281" s="262"/>
    </row>
    <row r="282" spans="3:3" ht="15.75" customHeight="1" x14ac:dyDescent="0.3">
      <c r="C282" s="262"/>
    </row>
    <row r="283" spans="3:3" ht="15.75" customHeight="1" x14ac:dyDescent="0.3">
      <c r="C283" s="262"/>
    </row>
    <row r="284" spans="3:3" ht="15.75" customHeight="1" x14ac:dyDescent="0.3">
      <c r="C284" s="262"/>
    </row>
    <row r="285" spans="3:3" ht="15.75" customHeight="1" x14ac:dyDescent="0.3">
      <c r="C285" s="262"/>
    </row>
    <row r="286" spans="3:3" ht="15.75" customHeight="1" x14ac:dyDescent="0.3">
      <c r="C286" s="262"/>
    </row>
    <row r="287" spans="3:3" ht="15.75" customHeight="1" x14ac:dyDescent="0.3">
      <c r="C287" s="262"/>
    </row>
    <row r="288" spans="3:3" ht="15.75" customHeight="1" x14ac:dyDescent="0.3">
      <c r="C288" s="262"/>
    </row>
    <row r="289" spans="3:3" ht="15.75" customHeight="1" x14ac:dyDescent="0.3">
      <c r="C289" s="262"/>
    </row>
    <row r="290" spans="3:3" ht="15.75" customHeight="1" x14ac:dyDescent="0.3">
      <c r="C290" s="262"/>
    </row>
    <row r="291" spans="3:3" ht="15.75" customHeight="1" x14ac:dyDescent="0.3">
      <c r="C291" s="262"/>
    </row>
    <row r="292" spans="3:3" ht="15.75" customHeight="1" x14ac:dyDescent="0.3">
      <c r="C292" s="262"/>
    </row>
    <row r="293" spans="3:3" ht="15.75" customHeight="1" x14ac:dyDescent="0.3">
      <c r="C293" s="262"/>
    </row>
    <row r="294" spans="3:3" ht="15.75" customHeight="1" x14ac:dyDescent="0.3">
      <c r="C294" s="262"/>
    </row>
    <row r="295" spans="3:3" ht="15.75" customHeight="1" x14ac:dyDescent="0.3">
      <c r="C295" s="262"/>
    </row>
    <row r="296" spans="3:3" ht="15.75" customHeight="1" x14ac:dyDescent="0.3">
      <c r="C296" s="262"/>
    </row>
    <row r="297" spans="3:3" ht="15.75" customHeight="1" x14ac:dyDescent="0.3">
      <c r="C297" s="262"/>
    </row>
    <row r="298" spans="3:3" ht="15.75" customHeight="1" x14ac:dyDescent="0.3">
      <c r="C298" s="262"/>
    </row>
    <row r="299" spans="3:3" ht="15.75" customHeight="1" x14ac:dyDescent="0.3">
      <c r="C299" s="262"/>
    </row>
    <row r="300" spans="3:3" ht="15.75" customHeight="1" x14ac:dyDescent="0.3">
      <c r="C300" s="262"/>
    </row>
    <row r="301" spans="3:3" ht="15.75" customHeight="1" x14ac:dyDescent="0.3">
      <c r="C301" s="262"/>
    </row>
    <row r="302" spans="3:3" ht="15.75" customHeight="1" x14ac:dyDescent="0.3">
      <c r="C302" s="262"/>
    </row>
    <row r="303" spans="3:3" ht="15.75" customHeight="1" x14ac:dyDescent="0.3">
      <c r="C303" s="262"/>
    </row>
    <row r="304" spans="3:3" ht="15.75" customHeight="1" x14ac:dyDescent="0.3">
      <c r="C304" s="262"/>
    </row>
    <row r="305" spans="3:3" ht="15.75" customHeight="1" x14ac:dyDescent="0.3">
      <c r="C305" s="262"/>
    </row>
    <row r="306" spans="3:3" ht="15.75" customHeight="1" x14ac:dyDescent="0.3">
      <c r="C306" s="262"/>
    </row>
    <row r="307" spans="3:3" ht="15.75" customHeight="1" x14ac:dyDescent="0.3">
      <c r="C307" s="262"/>
    </row>
    <row r="308" spans="3:3" ht="15.75" customHeight="1" x14ac:dyDescent="0.3">
      <c r="C308" s="262"/>
    </row>
    <row r="309" spans="3:3" ht="15.75" customHeight="1" x14ac:dyDescent="0.3">
      <c r="C309" s="262"/>
    </row>
    <row r="310" spans="3:3" ht="15.75" customHeight="1" x14ac:dyDescent="0.3">
      <c r="C310" s="262"/>
    </row>
    <row r="311" spans="3:3" ht="15.75" customHeight="1" x14ac:dyDescent="0.3">
      <c r="C311" s="262"/>
    </row>
    <row r="312" spans="3:3" ht="15.75" customHeight="1" x14ac:dyDescent="0.3">
      <c r="C312" s="262"/>
    </row>
    <row r="313" spans="3:3" ht="15.75" customHeight="1" x14ac:dyDescent="0.3">
      <c r="C313" s="262"/>
    </row>
    <row r="314" spans="3:3" ht="15.75" customHeight="1" x14ac:dyDescent="0.3">
      <c r="C314" s="262"/>
    </row>
    <row r="315" spans="3:3" ht="15.75" customHeight="1" x14ac:dyDescent="0.3">
      <c r="C315" s="262"/>
    </row>
    <row r="316" spans="3:3" ht="15.75" customHeight="1" x14ac:dyDescent="0.3">
      <c r="C316" s="262"/>
    </row>
    <row r="317" spans="3:3" ht="15.75" customHeight="1" x14ac:dyDescent="0.3">
      <c r="C317" s="262"/>
    </row>
    <row r="318" spans="3:3" ht="15.75" customHeight="1" x14ac:dyDescent="0.3">
      <c r="C318" s="262"/>
    </row>
    <row r="319" spans="3:3" ht="15.75" customHeight="1" x14ac:dyDescent="0.3">
      <c r="C319" s="262"/>
    </row>
    <row r="320" spans="3:3" ht="15.75" customHeight="1" x14ac:dyDescent="0.3">
      <c r="C320" s="262"/>
    </row>
    <row r="321" spans="3:3" ht="15.75" customHeight="1" x14ac:dyDescent="0.3">
      <c r="C321" s="262"/>
    </row>
    <row r="322" spans="3:3" ht="15.75" customHeight="1" x14ac:dyDescent="0.3">
      <c r="C322" s="262"/>
    </row>
    <row r="323" spans="3:3" ht="15.75" customHeight="1" x14ac:dyDescent="0.3">
      <c r="C323" s="262"/>
    </row>
    <row r="324" spans="3:3" ht="15.75" customHeight="1" x14ac:dyDescent="0.3">
      <c r="C324" s="262"/>
    </row>
    <row r="325" spans="3:3" ht="15.75" customHeight="1" x14ac:dyDescent="0.3">
      <c r="C325" s="262"/>
    </row>
    <row r="326" spans="3:3" ht="15.75" customHeight="1" x14ac:dyDescent="0.3">
      <c r="C326" s="262"/>
    </row>
    <row r="327" spans="3:3" ht="15.75" customHeight="1" x14ac:dyDescent="0.3">
      <c r="C327" s="262"/>
    </row>
    <row r="328" spans="3:3" ht="15.75" customHeight="1" x14ac:dyDescent="0.3">
      <c r="C328" s="262"/>
    </row>
    <row r="329" spans="3:3" ht="15.75" customHeight="1" x14ac:dyDescent="0.3">
      <c r="C329" s="262"/>
    </row>
    <row r="330" spans="3:3" ht="15.75" customHeight="1" x14ac:dyDescent="0.3">
      <c r="C330" s="262"/>
    </row>
    <row r="331" spans="3:3" ht="15.75" customHeight="1" x14ac:dyDescent="0.3">
      <c r="C331" s="262"/>
    </row>
    <row r="332" spans="3:3" ht="15.75" customHeight="1" x14ac:dyDescent="0.3">
      <c r="C332" s="262"/>
    </row>
    <row r="333" spans="3:3" ht="15.75" customHeight="1" x14ac:dyDescent="0.3">
      <c r="C333" s="262"/>
    </row>
    <row r="334" spans="3:3" ht="15.75" customHeight="1" x14ac:dyDescent="0.3">
      <c r="C334" s="262"/>
    </row>
    <row r="335" spans="3:3" ht="15.75" customHeight="1" x14ac:dyDescent="0.3">
      <c r="C335" s="262"/>
    </row>
    <row r="336" spans="3:3" ht="15.75" customHeight="1" x14ac:dyDescent="0.3">
      <c r="C336" s="262"/>
    </row>
    <row r="337" spans="3:3" ht="15.75" customHeight="1" x14ac:dyDescent="0.3">
      <c r="C337" s="262"/>
    </row>
    <row r="338" spans="3:3" ht="15.75" customHeight="1" x14ac:dyDescent="0.3">
      <c r="C338" s="262"/>
    </row>
    <row r="339" spans="3:3" ht="15.75" customHeight="1" x14ac:dyDescent="0.3">
      <c r="C339" s="262"/>
    </row>
    <row r="340" spans="3:3" ht="15.75" customHeight="1" x14ac:dyDescent="0.3">
      <c r="C340" s="262"/>
    </row>
    <row r="341" spans="3:3" ht="15.75" customHeight="1" x14ac:dyDescent="0.3">
      <c r="C341" s="262"/>
    </row>
    <row r="342" spans="3:3" ht="15.75" customHeight="1" x14ac:dyDescent="0.3">
      <c r="C342" s="262"/>
    </row>
    <row r="343" spans="3:3" ht="15.75" customHeight="1" x14ac:dyDescent="0.3">
      <c r="C343" s="262"/>
    </row>
    <row r="344" spans="3:3" ht="15.75" customHeight="1" x14ac:dyDescent="0.3">
      <c r="C344" s="262"/>
    </row>
    <row r="345" spans="3:3" ht="15.75" customHeight="1" x14ac:dyDescent="0.3">
      <c r="C345" s="262"/>
    </row>
    <row r="346" spans="3:3" ht="15.75" customHeight="1" x14ac:dyDescent="0.3">
      <c r="C346" s="262"/>
    </row>
    <row r="347" spans="3:3" ht="15.75" customHeight="1" x14ac:dyDescent="0.3">
      <c r="C347" s="262"/>
    </row>
    <row r="348" spans="3:3" ht="15.75" customHeight="1" x14ac:dyDescent="0.3">
      <c r="C348" s="262"/>
    </row>
    <row r="349" spans="3:3" ht="15.75" customHeight="1" x14ac:dyDescent="0.3">
      <c r="C349" s="262"/>
    </row>
    <row r="350" spans="3:3" ht="15.75" customHeight="1" x14ac:dyDescent="0.3">
      <c r="C350" s="262"/>
    </row>
    <row r="351" spans="3:3" ht="15.75" customHeight="1" x14ac:dyDescent="0.3">
      <c r="C351" s="262"/>
    </row>
    <row r="352" spans="3:3" ht="15.75" customHeight="1" x14ac:dyDescent="0.3">
      <c r="C352" s="262"/>
    </row>
    <row r="353" spans="3:3" ht="15.75" customHeight="1" x14ac:dyDescent="0.3">
      <c r="C353" s="262"/>
    </row>
    <row r="354" spans="3:3" ht="15.75" customHeight="1" x14ac:dyDescent="0.3">
      <c r="C354" s="262"/>
    </row>
    <row r="355" spans="3:3" ht="15.75" customHeight="1" x14ac:dyDescent="0.3">
      <c r="C355" s="262"/>
    </row>
    <row r="356" spans="3:3" ht="15.75" customHeight="1" x14ac:dyDescent="0.3">
      <c r="C356" s="262"/>
    </row>
    <row r="357" spans="3:3" ht="15.75" customHeight="1" x14ac:dyDescent="0.3">
      <c r="C357" s="262"/>
    </row>
    <row r="358" spans="3:3" ht="15.75" customHeight="1" x14ac:dyDescent="0.3">
      <c r="C358" s="262"/>
    </row>
    <row r="359" spans="3:3" ht="15.75" customHeight="1" x14ac:dyDescent="0.3">
      <c r="C359" s="262"/>
    </row>
    <row r="360" spans="3:3" ht="15.75" customHeight="1" x14ac:dyDescent="0.3">
      <c r="C360" s="262"/>
    </row>
    <row r="361" spans="3:3" ht="15.75" customHeight="1" x14ac:dyDescent="0.3">
      <c r="C361" s="262"/>
    </row>
    <row r="362" spans="3:3" ht="15.75" customHeight="1" x14ac:dyDescent="0.3">
      <c r="C362" s="262"/>
    </row>
    <row r="363" spans="3:3" ht="15.75" customHeight="1" x14ac:dyDescent="0.3">
      <c r="C363" s="262"/>
    </row>
    <row r="364" spans="3:3" ht="15.75" customHeight="1" x14ac:dyDescent="0.3">
      <c r="C364" s="262"/>
    </row>
    <row r="365" spans="3:3" ht="15.75" customHeight="1" x14ac:dyDescent="0.3">
      <c r="C365" s="262"/>
    </row>
    <row r="366" spans="3:3" ht="15.75" customHeight="1" x14ac:dyDescent="0.3">
      <c r="C366" s="262"/>
    </row>
    <row r="367" spans="3:3" ht="15.75" customHeight="1" x14ac:dyDescent="0.3">
      <c r="C367" s="262"/>
    </row>
    <row r="368" spans="3:3" ht="15.75" customHeight="1" x14ac:dyDescent="0.3">
      <c r="C368" s="262"/>
    </row>
    <row r="369" spans="3:3" ht="15.75" customHeight="1" x14ac:dyDescent="0.3">
      <c r="C369" s="262"/>
    </row>
    <row r="370" spans="3:3" ht="15.75" customHeight="1" x14ac:dyDescent="0.3">
      <c r="C370" s="262"/>
    </row>
    <row r="371" spans="3:3" ht="15.75" customHeight="1" x14ac:dyDescent="0.3">
      <c r="C371" s="262"/>
    </row>
    <row r="372" spans="3:3" ht="15.75" customHeight="1" x14ac:dyDescent="0.3">
      <c r="C372" s="262"/>
    </row>
    <row r="373" spans="3:3" ht="15.75" customHeight="1" x14ac:dyDescent="0.3">
      <c r="C373" s="262"/>
    </row>
    <row r="374" spans="3:3" ht="15.75" customHeight="1" x14ac:dyDescent="0.3">
      <c r="C374" s="262"/>
    </row>
    <row r="375" spans="3:3" ht="15.75" customHeight="1" x14ac:dyDescent="0.3">
      <c r="C375" s="262"/>
    </row>
    <row r="376" spans="3:3" ht="15.75" customHeight="1" x14ac:dyDescent="0.3">
      <c r="C376" s="262"/>
    </row>
    <row r="377" spans="3:3" ht="15.75" customHeight="1" x14ac:dyDescent="0.3">
      <c r="C377" s="262"/>
    </row>
    <row r="378" spans="3:3" ht="15.75" customHeight="1" x14ac:dyDescent="0.3">
      <c r="C378" s="262"/>
    </row>
    <row r="379" spans="3:3" ht="15.75" customHeight="1" x14ac:dyDescent="0.3">
      <c r="C379" s="262"/>
    </row>
    <row r="380" spans="3:3" ht="15.75" customHeight="1" x14ac:dyDescent="0.3">
      <c r="C380" s="262"/>
    </row>
    <row r="381" spans="3:3" ht="15.75" customHeight="1" x14ac:dyDescent="0.3">
      <c r="C381" s="262"/>
    </row>
    <row r="382" spans="3:3" ht="15.75" customHeight="1" x14ac:dyDescent="0.3">
      <c r="C382" s="262"/>
    </row>
    <row r="383" spans="3:3" ht="15.75" customHeight="1" x14ac:dyDescent="0.3">
      <c r="C383" s="262"/>
    </row>
    <row r="384" spans="3:3" ht="15.75" customHeight="1" x14ac:dyDescent="0.3">
      <c r="C384" s="262"/>
    </row>
    <row r="385" spans="3:3" ht="15.75" customHeight="1" x14ac:dyDescent="0.3">
      <c r="C385" s="262"/>
    </row>
    <row r="386" spans="3:3" ht="15.75" customHeight="1" x14ac:dyDescent="0.3">
      <c r="C386" s="262"/>
    </row>
    <row r="387" spans="3:3" ht="15.75" customHeight="1" x14ac:dyDescent="0.3">
      <c r="C387" s="262"/>
    </row>
    <row r="388" spans="3:3" ht="15.75" customHeight="1" x14ac:dyDescent="0.3">
      <c r="C388" s="262"/>
    </row>
    <row r="389" spans="3:3" ht="15.75" customHeight="1" x14ac:dyDescent="0.3">
      <c r="C389" s="262"/>
    </row>
    <row r="390" spans="3:3" ht="15.75" customHeight="1" x14ac:dyDescent="0.3">
      <c r="C390" s="262"/>
    </row>
    <row r="391" spans="3:3" ht="15.75" customHeight="1" x14ac:dyDescent="0.3">
      <c r="C391" s="262"/>
    </row>
    <row r="392" spans="3:3" ht="15.75" customHeight="1" x14ac:dyDescent="0.3">
      <c r="C392" s="262"/>
    </row>
    <row r="393" spans="3:3" ht="15.75" customHeight="1" x14ac:dyDescent="0.3">
      <c r="C393" s="262"/>
    </row>
    <row r="394" spans="3:3" ht="15.75" customHeight="1" x14ac:dyDescent="0.3">
      <c r="C394" s="262"/>
    </row>
    <row r="395" spans="3:3" ht="15.75" customHeight="1" x14ac:dyDescent="0.3">
      <c r="C395" s="262"/>
    </row>
    <row r="396" spans="3:3" ht="15.75" customHeight="1" x14ac:dyDescent="0.3">
      <c r="C396" s="262"/>
    </row>
    <row r="397" spans="3:3" ht="15.75" customHeight="1" x14ac:dyDescent="0.3">
      <c r="C397" s="262"/>
    </row>
    <row r="398" spans="3:3" ht="15.75" customHeight="1" x14ac:dyDescent="0.3">
      <c r="C398" s="262"/>
    </row>
    <row r="399" spans="3:3" ht="15.75" customHeight="1" x14ac:dyDescent="0.3">
      <c r="C399" s="262"/>
    </row>
    <row r="400" spans="3:3" ht="15.75" customHeight="1" x14ac:dyDescent="0.3">
      <c r="C400" s="262"/>
    </row>
    <row r="401" spans="3:3" ht="15.75" customHeight="1" x14ac:dyDescent="0.3">
      <c r="C401" s="262"/>
    </row>
    <row r="402" spans="3:3" ht="15.75" customHeight="1" x14ac:dyDescent="0.3">
      <c r="C402" s="262"/>
    </row>
    <row r="403" spans="3:3" ht="15.75" customHeight="1" x14ac:dyDescent="0.3">
      <c r="C403" s="262"/>
    </row>
    <row r="404" spans="3:3" ht="15.75" customHeight="1" x14ac:dyDescent="0.3">
      <c r="C404" s="262"/>
    </row>
    <row r="405" spans="3:3" ht="15.75" customHeight="1" x14ac:dyDescent="0.3">
      <c r="C405" s="262"/>
    </row>
    <row r="406" spans="3:3" ht="15.75" customHeight="1" x14ac:dyDescent="0.3">
      <c r="C406" s="262"/>
    </row>
    <row r="407" spans="3:3" ht="15.75" customHeight="1" x14ac:dyDescent="0.3">
      <c r="C407" s="262"/>
    </row>
    <row r="408" spans="3:3" ht="15.75" customHeight="1" x14ac:dyDescent="0.3">
      <c r="C408" s="262"/>
    </row>
    <row r="409" spans="3:3" ht="15.75" customHeight="1" x14ac:dyDescent="0.3">
      <c r="C409" s="262"/>
    </row>
    <row r="410" spans="3:3" ht="15.75" customHeight="1" x14ac:dyDescent="0.3">
      <c r="C410" s="262"/>
    </row>
    <row r="411" spans="3:3" ht="15.75" customHeight="1" x14ac:dyDescent="0.3"/>
    <row r="412" spans="3:3" ht="15.75" customHeight="1" x14ac:dyDescent="0.3"/>
    <row r="413" spans="3:3" ht="15.75" customHeight="1" x14ac:dyDescent="0.3"/>
    <row r="414" spans="3:3" ht="15.75" customHeight="1" x14ac:dyDescent="0.3"/>
    <row r="415" spans="3:3" ht="15.75" customHeight="1" x14ac:dyDescent="0.3"/>
    <row r="416" spans="3:3"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sheetData>
  <mergeCells count="10">
    <mergeCell ref="D37:F37"/>
    <mergeCell ref="D137:F137"/>
    <mergeCell ref="D189:F189"/>
    <mergeCell ref="B4:D4"/>
    <mergeCell ref="B5:D5"/>
    <mergeCell ref="B6:D6"/>
    <mergeCell ref="B7:D7"/>
    <mergeCell ref="B8:D8"/>
    <mergeCell ref="E8:G8"/>
    <mergeCell ref="G11:K11"/>
  </mergeCells>
  <dataValidations count="1">
    <dataValidation type="list" allowBlank="1" showErrorMessage="1" sqref="D30" xr:uid="{00000000-0002-0000-0D00-000000000000}">
      <formula1>"High,Medium,Low"</formula1>
    </dataValidation>
  </dataValidations>
  <pageMargins left="0.7" right="0.7" top="0.75" bottom="0.75" header="0" footer="0"/>
  <pageSetup orientation="portrait"/>
  <colBreaks count="1" manualBreakCount="1">
    <brk id="1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FF"/>
    <outlinePr summaryBelow="0" summaryRight="0"/>
  </sheetPr>
  <dimension ref="A1:Z1073"/>
  <sheetViews>
    <sheetView workbookViewId="0"/>
  </sheetViews>
  <sheetFormatPr defaultColWidth="14.3984375" defaultRowHeight="15" customHeight="1" x14ac:dyDescent="0.3"/>
  <cols>
    <col min="1" max="1" width="12.69921875" customWidth="1"/>
    <col min="2" max="2" width="74.8984375" customWidth="1"/>
    <col min="3" max="3" width="11.8984375" customWidth="1"/>
    <col min="4" max="4" width="13.59765625" customWidth="1"/>
    <col min="5" max="5" width="15" customWidth="1"/>
    <col min="6" max="7" width="17.09765625" customWidth="1"/>
    <col min="8" max="10" width="14.0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254</v>
      </c>
      <c r="C2" s="47"/>
      <c r="D2" s="33" t="s">
        <v>183</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47"/>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255</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85" t="s">
        <v>310</v>
      </c>
      <c r="C6" s="579"/>
      <c r="D6" s="580"/>
      <c r="E6" s="32"/>
      <c r="F6" s="32"/>
      <c r="G6" s="32"/>
      <c r="H6" s="32"/>
      <c r="I6" s="32"/>
      <c r="J6" s="32"/>
      <c r="K6" s="32"/>
      <c r="L6" s="50"/>
      <c r="M6" s="50"/>
      <c r="N6" s="50"/>
      <c r="O6" s="50"/>
      <c r="P6" s="50"/>
      <c r="Q6" s="50"/>
      <c r="R6" s="50"/>
      <c r="S6" s="50"/>
      <c r="T6" s="50"/>
      <c r="U6" s="50"/>
      <c r="V6" s="50"/>
      <c r="W6" s="50"/>
      <c r="X6" s="50"/>
      <c r="Y6" s="50"/>
      <c r="Z6" s="50"/>
    </row>
    <row r="7" spans="1:26" ht="22.5" customHeight="1" x14ac:dyDescent="0.35">
      <c r="A7" s="50"/>
      <c r="B7" s="556" t="s">
        <v>81</v>
      </c>
      <c r="C7" s="546"/>
      <c r="D7" s="558"/>
      <c r="E7" s="32"/>
      <c r="F7" s="32"/>
      <c r="G7" s="32"/>
      <c r="H7" s="32"/>
      <c r="I7" s="32"/>
      <c r="J7" s="32"/>
      <c r="K7" s="32"/>
      <c r="L7" s="50"/>
      <c r="M7" s="50"/>
      <c r="N7" s="50"/>
      <c r="O7" s="50"/>
      <c r="P7" s="50"/>
      <c r="Q7" s="50"/>
      <c r="R7" s="50"/>
      <c r="S7" s="50"/>
      <c r="T7" s="50"/>
      <c r="U7" s="50"/>
      <c r="V7" s="50"/>
      <c r="W7" s="50"/>
      <c r="X7" s="50"/>
      <c r="Y7" s="50"/>
      <c r="Z7" s="50"/>
    </row>
    <row r="8" spans="1:26" ht="72.75" customHeight="1" x14ac:dyDescent="0.35">
      <c r="A8" s="50"/>
      <c r="B8" s="585" t="s">
        <v>258</v>
      </c>
      <c r="C8" s="579"/>
      <c r="D8" s="580"/>
      <c r="E8" s="32"/>
      <c r="F8" s="32"/>
      <c r="G8" s="32"/>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285" t="s">
        <v>143</v>
      </c>
      <c r="E10" s="84"/>
      <c r="F10" s="84"/>
      <c r="G10" s="285" t="s">
        <v>87</v>
      </c>
      <c r="H10" s="84"/>
      <c r="I10" s="85"/>
      <c r="J10" s="85"/>
      <c r="K10" s="85"/>
      <c r="L10" s="86"/>
      <c r="M10" s="50"/>
      <c r="N10" s="50"/>
      <c r="O10" s="50"/>
      <c r="P10" s="50"/>
      <c r="Q10" s="50"/>
      <c r="R10" s="50"/>
      <c r="S10" s="50"/>
      <c r="T10" s="50"/>
      <c r="U10" s="50"/>
      <c r="V10" s="50"/>
      <c r="W10" s="50"/>
      <c r="X10" s="50"/>
      <c r="Y10" s="50"/>
      <c r="Z10" s="50"/>
    </row>
    <row r="11" spans="1:26" ht="41.25" customHeight="1" x14ac:dyDescent="0.35">
      <c r="A11" s="50"/>
      <c r="B11" s="87" t="s">
        <v>317</v>
      </c>
      <c r="C11" s="286"/>
      <c r="D11" s="43" t="s">
        <v>89</v>
      </c>
      <c r="E11" s="43" t="s">
        <v>90</v>
      </c>
      <c r="F11" s="43" t="s">
        <v>91</v>
      </c>
      <c r="G11" s="563" t="s">
        <v>260</v>
      </c>
      <c r="H11" s="546"/>
      <c r="I11" s="546"/>
      <c r="J11" s="546"/>
      <c r="K11" s="546"/>
      <c r="L11" s="558"/>
      <c r="M11" s="50"/>
      <c r="N11" s="50"/>
      <c r="O11" s="50"/>
      <c r="P11" s="50"/>
      <c r="Q11" s="50"/>
      <c r="R11" s="50"/>
      <c r="S11" s="50"/>
      <c r="T11" s="50"/>
      <c r="U11" s="50"/>
      <c r="V11" s="50"/>
      <c r="W11" s="50"/>
      <c r="X11" s="50"/>
      <c r="Y11" s="50"/>
      <c r="Z11" s="50"/>
    </row>
    <row r="12" spans="1:26" ht="15" customHeight="1" x14ac:dyDescent="0.35">
      <c r="A12" s="50"/>
      <c r="B12" s="89" t="s">
        <v>165</v>
      </c>
      <c r="C12" s="223" t="s">
        <v>94</v>
      </c>
      <c r="D12" s="224">
        <v>100</v>
      </c>
      <c r="E12" s="224">
        <v>100</v>
      </c>
      <c r="F12" s="224">
        <v>100</v>
      </c>
      <c r="G12" s="286"/>
      <c r="H12" s="286"/>
      <c r="I12" s="91"/>
      <c r="J12" s="91"/>
      <c r="K12" s="91"/>
      <c r="L12" s="92"/>
      <c r="M12" s="50"/>
      <c r="N12" s="50"/>
      <c r="O12" s="50"/>
      <c r="P12" s="50"/>
      <c r="Q12" s="50"/>
      <c r="R12" s="50"/>
      <c r="S12" s="50"/>
      <c r="T12" s="50"/>
      <c r="U12" s="50"/>
      <c r="V12" s="50"/>
      <c r="W12" s="50"/>
      <c r="X12" s="50"/>
      <c r="Y12" s="50"/>
      <c r="Z12" s="50"/>
    </row>
    <row r="13" spans="1:26" ht="15" customHeight="1" x14ac:dyDescent="0.35">
      <c r="A13" s="50"/>
      <c r="B13" s="89" t="s">
        <v>166</v>
      </c>
      <c r="C13" s="223" t="s">
        <v>94</v>
      </c>
      <c r="D13" s="224">
        <v>100</v>
      </c>
      <c r="E13" s="224">
        <v>100</v>
      </c>
      <c r="F13" s="224">
        <v>100</v>
      </c>
      <c r="G13" s="286"/>
      <c r="H13" s="286"/>
      <c r="I13" s="91"/>
      <c r="J13" s="91"/>
      <c r="K13" s="91"/>
      <c r="L13" s="92"/>
      <c r="M13" s="50"/>
      <c r="N13" s="50"/>
      <c r="O13" s="50"/>
      <c r="P13" s="50"/>
      <c r="Q13" s="50"/>
      <c r="R13" s="50"/>
      <c r="S13" s="50"/>
      <c r="T13" s="50"/>
      <c r="U13" s="50"/>
      <c r="V13" s="50"/>
      <c r="W13" s="50"/>
      <c r="X13" s="50"/>
      <c r="Y13" s="50"/>
      <c r="Z13" s="50"/>
    </row>
    <row r="14" spans="1:26" ht="15" customHeight="1" x14ac:dyDescent="0.35">
      <c r="A14" s="50"/>
      <c r="B14" s="89" t="s">
        <v>167</v>
      </c>
      <c r="C14" s="223" t="s">
        <v>94</v>
      </c>
      <c r="D14" s="224">
        <v>100</v>
      </c>
      <c r="E14" s="224">
        <v>100</v>
      </c>
      <c r="F14" s="224">
        <v>100</v>
      </c>
      <c r="G14" s="286"/>
      <c r="H14" s="286"/>
      <c r="I14" s="91"/>
      <c r="J14" s="91"/>
      <c r="K14" s="91"/>
      <c r="L14" s="92"/>
      <c r="M14" s="50"/>
      <c r="N14" s="50"/>
      <c r="O14" s="50"/>
      <c r="P14" s="50"/>
      <c r="Q14" s="50"/>
      <c r="R14" s="50"/>
      <c r="S14" s="50"/>
      <c r="T14" s="50"/>
      <c r="U14" s="50"/>
      <c r="V14" s="50"/>
      <c r="W14" s="50"/>
      <c r="X14" s="50"/>
      <c r="Y14" s="50"/>
      <c r="Z14" s="50"/>
    </row>
    <row r="15" spans="1:26" ht="15" customHeight="1" x14ac:dyDescent="0.35">
      <c r="A15" s="50"/>
      <c r="B15" s="89" t="s">
        <v>169</v>
      </c>
      <c r="C15" s="223" t="s">
        <v>94</v>
      </c>
      <c r="D15" s="224">
        <v>100</v>
      </c>
      <c r="E15" s="224">
        <v>100</v>
      </c>
      <c r="F15" s="224">
        <v>100</v>
      </c>
      <c r="G15" s="286"/>
      <c r="H15" s="286"/>
      <c r="I15" s="91"/>
      <c r="J15" s="91"/>
      <c r="K15" s="91"/>
      <c r="L15" s="92"/>
      <c r="M15" s="50"/>
      <c r="N15" s="50"/>
      <c r="O15" s="50"/>
      <c r="P15" s="50"/>
      <c r="Q15" s="50"/>
      <c r="R15" s="50"/>
      <c r="S15" s="50"/>
      <c r="T15" s="50"/>
      <c r="U15" s="50"/>
      <c r="V15" s="50"/>
      <c r="W15" s="50"/>
      <c r="X15" s="50"/>
      <c r="Y15" s="50"/>
      <c r="Z15" s="50"/>
    </row>
    <row r="16" spans="1:26" ht="15" customHeight="1" x14ac:dyDescent="0.35">
      <c r="A16" s="50"/>
      <c r="B16" s="89" t="s">
        <v>170</v>
      </c>
      <c r="C16" s="223" t="s">
        <v>94</v>
      </c>
      <c r="D16" s="224">
        <v>100</v>
      </c>
      <c r="E16" s="224">
        <v>100</v>
      </c>
      <c r="F16" s="224">
        <v>100</v>
      </c>
      <c r="G16" s="286"/>
      <c r="H16" s="286"/>
      <c r="I16" s="91"/>
      <c r="J16" s="91"/>
      <c r="K16" s="91"/>
      <c r="L16" s="92"/>
      <c r="M16" s="50"/>
      <c r="N16" s="50"/>
      <c r="O16" s="50"/>
      <c r="P16" s="50"/>
      <c r="Q16" s="50"/>
      <c r="R16" s="50"/>
      <c r="S16" s="50"/>
      <c r="T16" s="50"/>
      <c r="U16" s="50"/>
      <c r="V16" s="50"/>
      <c r="W16" s="50"/>
      <c r="X16" s="50"/>
      <c r="Y16" s="50"/>
      <c r="Z16" s="50"/>
    </row>
    <row r="17" spans="1:26" ht="15" customHeight="1" x14ac:dyDescent="0.35">
      <c r="A17" s="50"/>
      <c r="B17" s="89" t="s">
        <v>171</v>
      </c>
      <c r="C17" s="223" t="s">
        <v>94</v>
      </c>
      <c r="D17" s="224">
        <v>100</v>
      </c>
      <c r="E17" s="224">
        <v>100</v>
      </c>
      <c r="F17" s="224">
        <v>100</v>
      </c>
      <c r="G17" s="286"/>
      <c r="H17" s="286"/>
      <c r="I17" s="91"/>
      <c r="J17" s="91"/>
      <c r="K17" s="91"/>
      <c r="L17" s="92"/>
      <c r="M17" s="50"/>
      <c r="N17" s="50"/>
      <c r="O17" s="50"/>
      <c r="P17" s="50"/>
      <c r="Q17" s="50"/>
      <c r="R17" s="50"/>
      <c r="S17" s="50"/>
      <c r="T17" s="50"/>
      <c r="U17" s="50"/>
      <c r="V17" s="50"/>
      <c r="W17" s="50"/>
      <c r="X17" s="50"/>
      <c r="Y17" s="50"/>
      <c r="Z17" s="50"/>
    </row>
    <row r="18" spans="1:26" ht="15" customHeight="1" x14ac:dyDescent="0.35">
      <c r="A18" s="50"/>
      <c r="B18" s="89" t="s">
        <v>172</v>
      </c>
      <c r="C18" s="223" t="s">
        <v>94</v>
      </c>
      <c r="D18" s="224">
        <v>100</v>
      </c>
      <c r="E18" s="224">
        <v>100</v>
      </c>
      <c r="F18" s="224">
        <v>100</v>
      </c>
      <c r="G18" s="286"/>
      <c r="H18" s="286"/>
      <c r="I18" s="91"/>
      <c r="J18" s="91"/>
      <c r="K18" s="91"/>
      <c r="L18" s="92"/>
      <c r="M18" s="50"/>
      <c r="N18" s="50"/>
      <c r="O18" s="50"/>
      <c r="P18" s="50"/>
      <c r="Q18" s="50"/>
      <c r="R18" s="50"/>
      <c r="S18" s="50"/>
      <c r="T18" s="50"/>
      <c r="U18" s="50"/>
      <c r="V18" s="50"/>
      <c r="W18" s="50"/>
      <c r="X18" s="50"/>
      <c r="Y18" s="50"/>
      <c r="Z18" s="50"/>
    </row>
    <row r="19" spans="1:26" ht="15" customHeight="1" x14ac:dyDescent="0.35">
      <c r="A19" s="50"/>
      <c r="B19" s="89" t="s">
        <v>173</v>
      </c>
      <c r="C19" s="223" t="s">
        <v>94</v>
      </c>
      <c r="D19" s="224">
        <v>100</v>
      </c>
      <c r="E19" s="224">
        <v>100</v>
      </c>
      <c r="F19" s="224">
        <v>100</v>
      </c>
      <c r="G19" s="286"/>
      <c r="H19" s="286"/>
      <c r="I19" s="91"/>
      <c r="J19" s="91"/>
      <c r="K19" s="91"/>
      <c r="L19" s="92"/>
      <c r="M19" s="50"/>
      <c r="N19" s="50"/>
      <c r="O19" s="50"/>
      <c r="P19" s="50"/>
      <c r="Q19" s="50"/>
      <c r="R19" s="50"/>
      <c r="S19" s="50"/>
      <c r="T19" s="50"/>
      <c r="U19" s="50"/>
      <c r="V19" s="50"/>
      <c r="W19" s="50"/>
      <c r="X19" s="50"/>
      <c r="Y19" s="50"/>
      <c r="Z19" s="50"/>
    </row>
    <row r="20" spans="1:26" ht="15" customHeight="1" x14ac:dyDescent="0.35">
      <c r="A20" s="50"/>
      <c r="B20" s="89" t="s">
        <v>174</v>
      </c>
      <c r="C20" s="223" t="s">
        <v>94</v>
      </c>
      <c r="D20" s="224">
        <v>100</v>
      </c>
      <c r="E20" s="224">
        <v>100</v>
      </c>
      <c r="F20" s="224">
        <v>100</v>
      </c>
      <c r="G20" s="286"/>
      <c r="H20" s="286"/>
      <c r="I20" s="91"/>
      <c r="J20" s="91"/>
      <c r="K20" s="91"/>
      <c r="L20" s="92"/>
      <c r="M20" s="50"/>
      <c r="N20" s="50"/>
      <c r="O20" s="50"/>
      <c r="P20" s="50"/>
      <c r="Q20" s="50"/>
      <c r="R20" s="50"/>
      <c r="S20" s="50"/>
      <c r="T20" s="50"/>
      <c r="U20" s="50"/>
      <c r="V20" s="50"/>
      <c r="W20" s="50"/>
      <c r="X20" s="50"/>
      <c r="Y20" s="50"/>
      <c r="Z20" s="50"/>
    </row>
    <row r="21" spans="1:26" ht="15" customHeight="1" x14ac:dyDescent="0.35">
      <c r="A21" s="50"/>
      <c r="B21" s="89" t="s">
        <v>175</v>
      </c>
      <c r="C21" s="223" t="s">
        <v>94</v>
      </c>
      <c r="D21" s="224">
        <v>100</v>
      </c>
      <c r="E21" s="224">
        <v>100</v>
      </c>
      <c r="F21" s="224">
        <v>100</v>
      </c>
      <c r="G21" s="286"/>
      <c r="H21" s="286"/>
      <c r="I21" s="91"/>
      <c r="J21" s="91"/>
      <c r="K21" s="91"/>
      <c r="L21" s="92"/>
      <c r="M21" s="50"/>
      <c r="N21" s="50"/>
      <c r="O21" s="50"/>
      <c r="P21" s="50"/>
      <c r="Q21" s="50"/>
      <c r="R21" s="50"/>
      <c r="S21" s="50"/>
      <c r="T21" s="50"/>
      <c r="U21" s="50"/>
      <c r="V21" s="50"/>
      <c r="W21" s="50"/>
      <c r="X21" s="50"/>
      <c r="Y21" s="50"/>
      <c r="Z21" s="50"/>
    </row>
    <row r="22" spans="1:26" ht="15" customHeight="1" x14ac:dyDescent="0.35">
      <c r="A22" s="50"/>
      <c r="B22" s="89" t="s">
        <v>176</v>
      </c>
      <c r="C22" s="223" t="s">
        <v>94</v>
      </c>
      <c r="D22" s="224">
        <v>100</v>
      </c>
      <c r="E22" s="224">
        <v>100</v>
      </c>
      <c r="F22" s="224">
        <v>100</v>
      </c>
      <c r="G22" s="286"/>
      <c r="H22" s="286"/>
      <c r="I22" s="91"/>
      <c r="J22" s="91"/>
      <c r="K22" s="91"/>
      <c r="L22" s="92"/>
      <c r="M22" s="50"/>
      <c r="N22" s="50"/>
      <c r="O22" s="50"/>
      <c r="P22" s="50"/>
      <c r="Q22" s="50"/>
      <c r="R22" s="50"/>
      <c r="S22" s="50"/>
      <c r="T22" s="50"/>
      <c r="U22" s="50"/>
      <c r="V22" s="50"/>
      <c r="W22" s="50"/>
      <c r="X22" s="50"/>
      <c r="Y22" s="50"/>
      <c r="Z22" s="50"/>
    </row>
    <row r="23" spans="1:26" ht="15" customHeight="1" x14ac:dyDescent="0.35">
      <c r="A23" s="50"/>
      <c r="B23" s="225" t="s">
        <v>65</v>
      </c>
      <c r="C23" s="223" t="s">
        <v>94</v>
      </c>
      <c r="D23" s="274">
        <f t="shared" ref="D23:F23" si="0">SUM(D12:D22)</f>
        <v>1100</v>
      </c>
      <c r="E23" s="274">
        <f t="shared" si="0"/>
        <v>1100</v>
      </c>
      <c r="F23" s="274">
        <f t="shared" si="0"/>
        <v>1100</v>
      </c>
      <c r="G23" s="286"/>
      <c r="H23" s="286"/>
      <c r="I23" s="91"/>
      <c r="J23" s="91"/>
      <c r="K23" s="91"/>
      <c r="L23" s="92"/>
      <c r="M23" s="50"/>
      <c r="N23" s="50"/>
      <c r="O23" s="50"/>
      <c r="P23" s="50"/>
      <c r="Q23" s="50"/>
      <c r="R23" s="50"/>
      <c r="S23" s="50"/>
      <c r="T23" s="50"/>
      <c r="U23" s="50"/>
      <c r="V23" s="50"/>
      <c r="W23" s="50"/>
      <c r="X23" s="50"/>
      <c r="Y23" s="50"/>
      <c r="Z23" s="50"/>
    </row>
    <row r="24" spans="1:26" ht="15.75" customHeight="1" x14ac:dyDescent="0.35">
      <c r="A24" s="50"/>
      <c r="B24" s="96" t="s">
        <v>261</v>
      </c>
      <c r="C24" s="88" t="s">
        <v>262</v>
      </c>
      <c r="D24" s="227">
        <v>1.1319999999999999</v>
      </c>
      <c r="E24" s="228" t="s">
        <v>263</v>
      </c>
      <c r="F24" s="91"/>
      <c r="G24" s="91"/>
      <c r="H24" s="91"/>
      <c r="I24" s="91"/>
      <c r="J24" s="91"/>
      <c r="K24" s="91"/>
      <c r="L24" s="92"/>
      <c r="M24" s="50"/>
      <c r="N24" s="50"/>
      <c r="O24" s="50"/>
      <c r="P24" s="50"/>
      <c r="Q24" s="50"/>
      <c r="R24" s="50"/>
      <c r="S24" s="50"/>
      <c r="T24" s="50"/>
      <c r="U24" s="50"/>
      <c r="V24" s="50"/>
      <c r="W24" s="50"/>
      <c r="X24" s="50"/>
      <c r="Y24" s="50"/>
      <c r="Z24" s="50"/>
    </row>
    <row r="25" spans="1:26" ht="15.75" customHeight="1" x14ac:dyDescent="0.35">
      <c r="A25" s="50"/>
      <c r="B25" s="96" t="s">
        <v>264</v>
      </c>
      <c r="C25" s="229" t="s">
        <v>318</v>
      </c>
      <c r="D25" s="178">
        <v>0.3</v>
      </c>
      <c r="E25" s="228" t="s">
        <v>265</v>
      </c>
      <c r="F25" s="91"/>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96" t="s">
        <v>266</v>
      </c>
      <c r="C26" s="229" t="s">
        <v>202</v>
      </c>
      <c r="D26" s="178">
        <v>0.25</v>
      </c>
      <c r="E26" s="228" t="s">
        <v>267</v>
      </c>
      <c r="F26" s="91"/>
      <c r="G26" s="91"/>
      <c r="H26" s="91"/>
      <c r="I26" s="91"/>
      <c r="J26" s="91"/>
      <c r="K26" s="91"/>
      <c r="L26" s="92"/>
      <c r="M26" s="50"/>
      <c r="N26" s="50"/>
      <c r="O26" s="50"/>
      <c r="P26" s="50"/>
      <c r="Q26" s="50"/>
      <c r="R26" s="50"/>
      <c r="S26" s="50"/>
      <c r="T26" s="50"/>
      <c r="U26" s="50"/>
      <c r="V26" s="50"/>
      <c r="W26" s="50"/>
      <c r="X26" s="50"/>
      <c r="Y26" s="50"/>
      <c r="Z26" s="50"/>
    </row>
    <row r="27" spans="1:26" ht="15.75" customHeight="1" x14ac:dyDescent="0.35">
      <c r="A27" s="50"/>
      <c r="B27" s="96" t="s">
        <v>268</v>
      </c>
      <c r="C27" s="88"/>
      <c r="D27" s="98" t="s">
        <v>114</v>
      </c>
      <c r="E27" s="91" t="s">
        <v>269</v>
      </c>
      <c r="F27" s="91"/>
      <c r="G27" s="91"/>
      <c r="H27" s="91"/>
      <c r="I27" s="91"/>
      <c r="J27" s="91"/>
      <c r="K27" s="91"/>
      <c r="L27" s="92"/>
      <c r="M27" s="50"/>
      <c r="N27" s="50"/>
      <c r="O27" s="50"/>
      <c r="P27" s="50"/>
      <c r="Q27" s="50"/>
      <c r="R27" s="50"/>
      <c r="S27" s="50"/>
      <c r="T27" s="50"/>
      <c r="U27" s="50"/>
      <c r="V27" s="50"/>
      <c r="W27" s="50"/>
      <c r="X27" s="50"/>
      <c r="Y27" s="50"/>
      <c r="Z27" s="50"/>
    </row>
    <row r="28" spans="1:26" ht="15.75" customHeight="1" x14ac:dyDescent="0.35">
      <c r="A28" s="50"/>
      <c r="B28" s="96" t="s">
        <v>313</v>
      </c>
      <c r="C28" s="88"/>
      <c r="D28" s="230">
        <f>VLOOKUP(D27,B29:D31,3,TRUE)</f>
        <v>0.1</v>
      </c>
      <c r="E28" s="91" t="s">
        <v>117</v>
      </c>
      <c r="F28" s="91"/>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101" t="s">
        <v>114</v>
      </c>
      <c r="C29" s="102"/>
      <c r="D29" s="275">
        <v>0.1</v>
      </c>
      <c r="E29" s="91" t="s">
        <v>271</v>
      </c>
      <c r="F29" s="91"/>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101" t="s">
        <v>119</v>
      </c>
      <c r="C30" s="102"/>
      <c r="D30" s="275">
        <v>0.05</v>
      </c>
      <c r="E30" s="91" t="s">
        <v>271</v>
      </c>
      <c r="F30" s="91"/>
      <c r="G30" s="91"/>
      <c r="H30" s="91"/>
      <c r="I30" s="91"/>
      <c r="J30" s="91"/>
      <c r="K30" s="91"/>
      <c r="L30" s="92"/>
      <c r="M30" s="50"/>
      <c r="N30" s="50"/>
      <c r="O30" s="50"/>
      <c r="P30" s="50"/>
      <c r="Q30" s="50"/>
      <c r="R30" s="50"/>
      <c r="S30" s="50"/>
      <c r="T30" s="50"/>
      <c r="U30" s="50"/>
      <c r="V30" s="50"/>
      <c r="W30" s="50"/>
      <c r="X30" s="50"/>
      <c r="Y30" s="50"/>
      <c r="Z30" s="50"/>
    </row>
    <row r="31" spans="1:26" ht="15.75" customHeight="1" x14ac:dyDescent="0.35">
      <c r="A31" s="50"/>
      <c r="B31" s="101" t="s">
        <v>121</v>
      </c>
      <c r="C31" s="102"/>
      <c r="D31" s="275">
        <v>0.03</v>
      </c>
      <c r="E31" s="91" t="s">
        <v>271</v>
      </c>
      <c r="F31" s="91"/>
      <c r="G31" s="91"/>
      <c r="H31" s="91"/>
      <c r="I31" s="91"/>
      <c r="J31" s="91"/>
      <c r="K31" s="91"/>
      <c r="L31" s="92"/>
      <c r="M31" s="50"/>
      <c r="N31" s="50"/>
      <c r="O31" s="50"/>
      <c r="P31" s="50"/>
      <c r="Q31" s="50"/>
      <c r="R31" s="50"/>
      <c r="S31" s="50"/>
      <c r="T31" s="50"/>
      <c r="U31" s="50"/>
      <c r="V31" s="50"/>
      <c r="W31" s="50"/>
      <c r="X31" s="50"/>
      <c r="Y31" s="50"/>
      <c r="Z31" s="50"/>
    </row>
    <row r="32" spans="1:26" ht="15.75" customHeight="1" x14ac:dyDescent="0.35">
      <c r="A32" s="50"/>
      <c r="B32" s="233" t="s">
        <v>272</v>
      </c>
      <c r="C32" s="234"/>
      <c r="D32" s="235">
        <f>'1.Red. Purch. Cost Patient Care'!D68</f>
        <v>0.05</v>
      </c>
      <c r="E32" s="109" t="s">
        <v>314</v>
      </c>
      <c r="F32" s="109"/>
      <c r="G32" s="109"/>
      <c r="H32" s="109"/>
      <c r="I32" s="109"/>
      <c r="J32" s="109"/>
      <c r="K32" s="109"/>
      <c r="L32" s="158"/>
      <c r="M32" s="50"/>
      <c r="N32" s="50"/>
      <c r="O32" s="50"/>
      <c r="P32" s="50"/>
      <c r="Q32" s="50"/>
      <c r="R32" s="50"/>
      <c r="S32" s="50"/>
      <c r="T32" s="50"/>
      <c r="U32" s="50"/>
      <c r="V32" s="50"/>
      <c r="W32" s="50"/>
      <c r="X32" s="50"/>
      <c r="Y32" s="50"/>
      <c r="Z32" s="50"/>
    </row>
    <row r="33" spans="1:26" ht="15.75" customHeight="1" x14ac:dyDescent="0.35">
      <c r="A33" s="50"/>
      <c r="B33" s="287"/>
      <c r="C33" s="288"/>
      <c r="D33" s="289"/>
      <c r="E33" s="50"/>
      <c r="F33" s="50"/>
      <c r="G33" s="50"/>
      <c r="H33" s="50"/>
      <c r="I33" s="50"/>
      <c r="J33" s="50"/>
      <c r="K33" s="50"/>
      <c r="L33" s="50"/>
      <c r="M33" s="50"/>
      <c r="N33" s="50"/>
      <c r="O33" s="50"/>
      <c r="P33" s="50"/>
      <c r="Q33" s="50"/>
      <c r="R33" s="50"/>
      <c r="S33" s="50"/>
      <c r="T33" s="50"/>
      <c r="U33" s="50"/>
      <c r="V33" s="50"/>
      <c r="W33" s="50"/>
      <c r="X33" s="50"/>
      <c r="Y33" s="50"/>
      <c r="Z33" s="50"/>
    </row>
    <row r="34" spans="1:26" ht="15.75" customHeight="1" x14ac:dyDescent="0.35">
      <c r="A34" s="50"/>
      <c r="B34" s="50"/>
      <c r="C34" s="63"/>
      <c r="D34" s="50"/>
      <c r="E34" s="50"/>
      <c r="F34" s="50"/>
      <c r="G34" s="50"/>
      <c r="H34" s="50"/>
      <c r="I34" s="50"/>
      <c r="J34" s="50"/>
      <c r="K34" s="50"/>
      <c r="L34" s="50"/>
      <c r="M34" s="50"/>
      <c r="N34" s="50"/>
      <c r="O34" s="50"/>
      <c r="P34" s="50"/>
      <c r="Q34" s="50"/>
      <c r="R34" s="50"/>
      <c r="S34" s="50"/>
      <c r="T34" s="50"/>
      <c r="U34" s="50"/>
      <c r="V34" s="50"/>
      <c r="W34" s="50"/>
      <c r="X34" s="50"/>
      <c r="Y34" s="50"/>
      <c r="Z34" s="50"/>
    </row>
    <row r="35" spans="1:26" ht="15.75" customHeight="1" x14ac:dyDescent="0.35">
      <c r="A35" s="50"/>
      <c r="B35" s="35" t="s">
        <v>55</v>
      </c>
      <c r="C35" s="36"/>
      <c r="D35" s="565" t="s">
        <v>129</v>
      </c>
      <c r="E35" s="552"/>
      <c r="F35" s="553"/>
      <c r="G35" s="112" t="s">
        <v>130</v>
      </c>
      <c r="H35" s="38" t="e">
        <f t="shared" ref="H35:P35" si="1">+G35+1</f>
        <v>#VALUE!</v>
      </c>
      <c r="I35" s="38" t="e">
        <f t="shared" si="1"/>
        <v>#VALUE!</v>
      </c>
      <c r="J35" s="38" t="e">
        <f t="shared" si="1"/>
        <v>#VALUE!</v>
      </c>
      <c r="K35" s="38" t="e">
        <f t="shared" si="1"/>
        <v>#VALUE!</v>
      </c>
      <c r="L35" s="38" t="e">
        <f t="shared" si="1"/>
        <v>#VALUE!</v>
      </c>
      <c r="M35" s="38" t="e">
        <f t="shared" si="1"/>
        <v>#VALUE!</v>
      </c>
      <c r="N35" s="38" t="e">
        <f t="shared" si="1"/>
        <v>#VALUE!</v>
      </c>
      <c r="O35" s="38" t="e">
        <f t="shared" si="1"/>
        <v>#VALUE!</v>
      </c>
      <c r="P35" s="39" t="e">
        <f t="shared" si="1"/>
        <v>#VALUE!</v>
      </c>
      <c r="Q35" s="50"/>
      <c r="R35" s="50"/>
      <c r="S35" s="50"/>
      <c r="T35" s="50"/>
      <c r="U35" s="50"/>
      <c r="V35" s="50"/>
      <c r="W35" s="50"/>
      <c r="X35" s="50"/>
      <c r="Y35" s="50"/>
      <c r="Z35" s="50"/>
    </row>
    <row r="36" spans="1:26" ht="15.75" customHeight="1" x14ac:dyDescent="0.35">
      <c r="A36" s="50"/>
      <c r="B36" s="40"/>
      <c r="C36" s="41"/>
      <c r="D36" s="276">
        <v>1</v>
      </c>
      <c r="E36" s="43">
        <f>+D36+1</f>
        <v>2</v>
      </c>
      <c r="F36" s="43">
        <f t="shared" ref="F36:P36" si="2">E36+1</f>
        <v>3</v>
      </c>
      <c r="G36" s="43">
        <f t="shared" si="2"/>
        <v>4</v>
      </c>
      <c r="H36" s="43">
        <f t="shared" si="2"/>
        <v>5</v>
      </c>
      <c r="I36" s="43">
        <f t="shared" si="2"/>
        <v>6</v>
      </c>
      <c r="J36" s="43">
        <f t="shared" si="2"/>
        <v>7</v>
      </c>
      <c r="K36" s="43">
        <f t="shared" si="2"/>
        <v>8</v>
      </c>
      <c r="L36" s="43">
        <f t="shared" si="2"/>
        <v>9</v>
      </c>
      <c r="M36" s="43">
        <f t="shared" si="2"/>
        <v>10</v>
      </c>
      <c r="N36" s="43">
        <f t="shared" si="2"/>
        <v>11</v>
      </c>
      <c r="O36" s="43">
        <f t="shared" si="2"/>
        <v>12</v>
      </c>
      <c r="P36" s="114">
        <f t="shared" si="2"/>
        <v>13</v>
      </c>
      <c r="Q36" s="50"/>
      <c r="R36" s="50"/>
      <c r="S36" s="50"/>
      <c r="T36" s="50"/>
      <c r="U36" s="50"/>
      <c r="V36" s="50"/>
      <c r="W36" s="50"/>
      <c r="X36" s="50"/>
      <c r="Y36" s="50"/>
      <c r="Z36" s="50"/>
    </row>
    <row r="37" spans="1:26" ht="15" customHeight="1" x14ac:dyDescent="0.35">
      <c r="A37" s="50"/>
      <c r="B37" s="46" t="s">
        <v>274</v>
      </c>
      <c r="C37" s="47"/>
      <c r="D37" s="49"/>
      <c r="E37" s="49"/>
      <c r="F37" s="49"/>
      <c r="G37" s="49"/>
      <c r="H37" s="49"/>
      <c r="I37" s="49"/>
      <c r="J37" s="49"/>
      <c r="K37" s="49"/>
      <c r="L37" s="49"/>
      <c r="M37" s="49"/>
      <c r="N37" s="50"/>
      <c r="O37" s="50"/>
      <c r="P37" s="115"/>
      <c r="Q37" s="50"/>
      <c r="R37" s="50"/>
      <c r="S37" s="50"/>
      <c r="T37" s="50"/>
      <c r="U37" s="50"/>
      <c r="V37" s="50"/>
      <c r="W37" s="50"/>
      <c r="X37" s="50"/>
      <c r="Y37" s="50"/>
      <c r="Z37" s="50"/>
    </row>
    <row r="38" spans="1:26" ht="15" customHeight="1" x14ac:dyDescent="0.35">
      <c r="A38" s="50"/>
      <c r="B38" s="53" t="s">
        <v>165</v>
      </c>
      <c r="C38" s="54" t="s">
        <v>94</v>
      </c>
      <c r="D38" s="49">
        <f>'1.Red. Purch. Cost Vasc.'!D76</f>
        <v>1000</v>
      </c>
      <c r="E38" s="49">
        <f>'1.Red. Purch. Cost Vasc.'!E76</f>
        <v>1000</v>
      </c>
      <c r="F38" s="49">
        <f>'1.Red. Purch. Cost Vasc.'!F76</f>
        <v>1000</v>
      </c>
      <c r="G38" s="49">
        <f>'1.Red. Purch. Cost Vasc.'!G76</f>
        <v>1010</v>
      </c>
      <c r="H38" s="49">
        <f>'1.Red. Purch. Cost Vasc.'!H76</f>
        <v>1020.1</v>
      </c>
      <c r="I38" s="49">
        <f>'1.Red. Purch. Cost Vasc.'!I76</f>
        <v>1030.3009999999999</v>
      </c>
      <c r="J38" s="49">
        <f>'1.Red. Purch. Cost Vasc.'!J76</f>
        <v>1040.60401</v>
      </c>
      <c r="K38" s="49">
        <f>'1.Red. Purch. Cost Vasc.'!K76</f>
        <v>1051.0100500999999</v>
      </c>
      <c r="L38" s="49">
        <f>'1.Red. Purch. Cost Vasc.'!L76</f>
        <v>1061.5201506009998</v>
      </c>
      <c r="M38" s="49">
        <f>'1.Red. Purch. Cost Vasc.'!M76</f>
        <v>1072.1353521070098</v>
      </c>
      <c r="N38" s="49">
        <f>'1.Red. Purch. Cost Vasc.'!N76</f>
        <v>1082.8567056280799</v>
      </c>
      <c r="O38" s="49">
        <f>'1.Red. Purch. Cost Vasc.'!O76</f>
        <v>1093.6852726843608</v>
      </c>
      <c r="P38" s="117">
        <f>'1.Red. Purch. Cost Vasc.'!P76</f>
        <v>1104.6221254112045</v>
      </c>
      <c r="Q38" s="50"/>
      <c r="R38" s="50"/>
      <c r="S38" s="50"/>
      <c r="T38" s="50"/>
      <c r="U38" s="50"/>
      <c r="V38" s="50"/>
      <c r="W38" s="50"/>
      <c r="X38" s="50"/>
      <c r="Y38" s="50"/>
      <c r="Z38" s="50"/>
    </row>
    <row r="39" spans="1:26" ht="15" customHeight="1" x14ac:dyDescent="0.35">
      <c r="A39" s="50"/>
      <c r="B39" s="53" t="s">
        <v>166</v>
      </c>
      <c r="C39" s="54" t="s">
        <v>94</v>
      </c>
      <c r="D39" s="49">
        <f>'1.Red. Purch. Cost Vasc.'!D77</f>
        <v>1000</v>
      </c>
      <c r="E39" s="49">
        <f>'1.Red. Purch. Cost Vasc.'!E77</f>
        <v>1000</v>
      </c>
      <c r="F39" s="49">
        <f>'1.Red. Purch. Cost Vasc.'!F77</f>
        <v>1000</v>
      </c>
      <c r="G39" s="49">
        <f>'1.Red. Purch. Cost Vasc.'!G77</f>
        <v>1010</v>
      </c>
      <c r="H39" s="49">
        <f>'1.Red. Purch. Cost Vasc.'!H77</f>
        <v>1020.1</v>
      </c>
      <c r="I39" s="49">
        <f>'1.Red. Purch. Cost Vasc.'!I77</f>
        <v>1030.3009999999999</v>
      </c>
      <c r="J39" s="49">
        <f>'1.Red. Purch. Cost Vasc.'!J77</f>
        <v>1040.60401</v>
      </c>
      <c r="K39" s="49">
        <f>'1.Red. Purch. Cost Vasc.'!K77</f>
        <v>1051.0100500999999</v>
      </c>
      <c r="L39" s="49">
        <f>'1.Red. Purch. Cost Vasc.'!L77</f>
        <v>1061.5201506009998</v>
      </c>
      <c r="M39" s="49">
        <f>'1.Red. Purch. Cost Vasc.'!M77</f>
        <v>1072.1353521070098</v>
      </c>
      <c r="N39" s="49">
        <f>'1.Red. Purch. Cost Vasc.'!N77</f>
        <v>1082.8567056280799</v>
      </c>
      <c r="O39" s="49">
        <f>'1.Red. Purch. Cost Vasc.'!O77</f>
        <v>1093.6852726843608</v>
      </c>
      <c r="P39" s="117">
        <f>'1.Red. Purch. Cost Vasc.'!P77</f>
        <v>1104.6221254112045</v>
      </c>
      <c r="Q39" s="50"/>
      <c r="R39" s="50"/>
      <c r="S39" s="50"/>
      <c r="T39" s="50"/>
      <c r="U39" s="50"/>
      <c r="V39" s="50"/>
      <c r="W39" s="50"/>
      <c r="X39" s="50"/>
      <c r="Y39" s="50"/>
      <c r="Z39" s="50"/>
    </row>
    <row r="40" spans="1:26" ht="15" customHeight="1" x14ac:dyDescent="0.35">
      <c r="A40" s="50"/>
      <c r="B40" s="53" t="s">
        <v>167</v>
      </c>
      <c r="C40" s="54" t="s">
        <v>94</v>
      </c>
      <c r="D40" s="49">
        <f>'1.Red. Purch. Cost Vasc.'!D78</f>
        <v>1000</v>
      </c>
      <c r="E40" s="49">
        <f>'1.Red. Purch. Cost Vasc.'!E78</f>
        <v>1000</v>
      </c>
      <c r="F40" s="49">
        <f>'1.Red. Purch. Cost Vasc.'!F78</f>
        <v>1000</v>
      </c>
      <c r="G40" s="49">
        <f>'1.Red. Purch. Cost Vasc.'!G78</f>
        <v>1010</v>
      </c>
      <c r="H40" s="49">
        <f>'1.Red. Purch. Cost Vasc.'!H78</f>
        <v>1020.1</v>
      </c>
      <c r="I40" s="49">
        <f>'1.Red. Purch. Cost Vasc.'!I78</f>
        <v>1030.3009999999999</v>
      </c>
      <c r="J40" s="49">
        <f>'1.Red. Purch. Cost Vasc.'!J78</f>
        <v>1040.60401</v>
      </c>
      <c r="K40" s="49">
        <f>'1.Red. Purch. Cost Vasc.'!K78</f>
        <v>1051.0100500999999</v>
      </c>
      <c r="L40" s="49">
        <f>'1.Red. Purch. Cost Vasc.'!L78</f>
        <v>1061.5201506009998</v>
      </c>
      <c r="M40" s="49">
        <f>'1.Red. Purch. Cost Vasc.'!M78</f>
        <v>1072.1353521070098</v>
      </c>
      <c r="N40" s="49">
        <f>'1.Red. Purch. Cost Vasc.'!N78</f>
        <v>1082.8567056280799</v>
      </c>
      <c r="O40" s="49">
        <f>'1.Red. Purch. Cost Vasc.'!O78</f>
        <v>1093.6852726843608</v>
      </c>
      <c r="P40" s="117">
        <f>'1.Red. Purch. Cost Vasc.'!P78</f>
        <v>1104.6221254112045</v>
      </c>
      <c r="Q40" s="50"/>
      <c r="R40" s="50"/>
      <c r="S40" s="50"/>
      <c r="T40" s="50"/>
      <c r="U40" s="50"/>
      <c r="V40" s="50"/>
      <c r="W40" s="50"/>
      <c r="X40" s="50"/>
      <c r="Y40" s="50"/>
      <c r="Z40" s="50"/>
    </row>
    <row r="41" spans="1:26" ht="15" customHeight="1" x14ac:dyDescent="0.35">
      <c r="A41" s="50"/>
      <c r="B41" s="53" t="s">
        <v>169</v>
      </c>
      <c r="C41" s="54" t="s">
        <v>94</v>
      </c>
      <c r="D41" s="49">
        <f>'1.Red. Purch. Cost Vasc.'!D79</f>
        <v>1000</v>
      </c>
      <c r="E41" s="49">
        <f>'1.Red. Purch. Cost Vasc.'!E79</f>
        <v>1000</v>
      </c>
      <c r="F41" s="49">
        <f>'1.Red. Purch. Cost Vasc.'!F79</f>
        <v>1000</v>
      </c>
      <c r="G41" s="49">
        <f>'1.Red. Purch. Cost Vasc.'!G79</f>
        <v>1010</v>
      </c>
      <c r="H41" s="49">
        <f>'1.Red. Purch. Cost Vasc.'!H79</f>
        <v>1020.1</v>
      </c>
      <c r="I41" s="49">
        <f>'1.Red. Purch. Cost Vasc.'!I79</f>
        <v>1030.3009999999999</v>
      </c>
      <c r="J41" s="49">
        <f>'1.Red. Purch. Cost Vasc.'!J79</f>
        <v>1040.60401</v>
      </c>
      <c r="K41" s="49">
        <f>'1.Red. Purch. Cost Vasc.'!K79</f>
        <v>1051.0100500999999</v>
      </c>
      <c r="L41" s="49">
        <f>'1.Red. Purch. Cost Vasc.'!L79</f>
        <v>1061.5201506009998</v>
      </c>
      <c r="M41" s="49">
        <f>'1.Red. Purch. Cost Vasc.'!M79</f>
        <v>1072.1353521070098</v>
      </c>
      <c r="N41" s="49">
        <f>'1.Red. Purch. Cost Vasc.'!N79</f>
        <v>1082.8567056280799</v>
      </c>
      <c r="O41" s="49">
        <f>'1.Red. Purch. Cost Vasc.'!O79</f>
        <v>1093.6852726843608</v>
      </c>
      <c r="P41" s="117">
        <f>'1.Red. Purch. Cost Vasc.'!P79</f>
        <v>1104.6221254112045</v>
      </c>
      <c r="Q41" s="50"/>
      <c r="R41" s="50"/>
      <c r="S41" s="50"/>
      <c r="T41" s="50"/>
      <c r="U41" s="50"/>
      <c r="V41" s="50"/>
      <c r="W41" s="50"/>
      <c r="X41" s="50"/>
      <c r="Y41" s="50"/>
      <c r="Z41" s="50"/>
    </row>
    <row r="42" spans="1:26" ht="15" customHeight="1" x14ac:dyDescent="0.35">
      <c r="A42" s="50"/>
      <c r="B42" s="53" t="s">
        <v>170</v>
      </c>
      <c r="C42" s="54" t="s">
        <v>94</v>
      </c>
      <c r="D42" s="49">
        <f>'1.Red. Purch. Cost Vasc.'!D80</f>
        <v>1000</v>
      </c>
      <c r="E42" s="49">
        <f>'1.Red. Purch. Cost Vasc.'!E80</f>
        <v>1000</v>
      </c>
      <c r="F42" s="49">
        <f>'1.Red. Purch. Cost Vasc.'!F80</f>
        <v>1000</v>
      </c>
      <c r="G42" s="49">
        <f>'1.Red. Purch. Cost Vasc.'!G80</f>
        <v>1010</v>
      </c>
      <c r="H42" s="49">
        <f>'1.Red. Purch. Cost Vasc.'!H80</f>
        <v>1020.1</v>
      </c>
      <c r="I42" s="49">
        <f>'1.Red. Purch. Cost Vasc.'!I80</f>
        <v>1030.3009999999999</v>
      </c>
      <c r="J42" s="49">
        <f>'1.Red. Purch. Cost Vasc.'!J80</f>
        <v>1040.60401</v>
      </c>
      <c r="K42" s="49">
        <f>'1.Red. Purch. Cost Vasc.'!K80</f>
        <v>1051.0100500999999</v>
      </c>
      <c r="L42" s="49">
        <f>'1.Red. Purch. Cost Vasc.'!L80</f>
        <v>1061.5201506009998</v>
      </c>
      <c r="M42" s="49">
        <f>'1.Red. Purch. Cost Vasc.'!M80</f>
        <v>1072.1353521070098</v>
      </c>
      <c r="N42" s="49">
        <f>'1.Red. Purch. Cost Vasc.'!N80</f>
        <v>1082.8567056280799</v>
      </c>
      <c r="O42" s="49">
        <f>'1.Red. Purch. Cost Vasc.'!O80</f>
        <v>1093.6852726843608</v>
      </c>
      <c r="P42" s="117">
        <f>'1.Red. Purch. Cost Vasc.'!P80</f>
        <v>1104.6221254112045</v>
      </c>
      <c r="Q42" s="50"/>
      <c r="R42" s="50"/>
      <c r="S42" s="50"/>
      <c r="T42" s="50"/>
      <c r="U42" s="50"/>
      <c r="V42" s="50"/>
      <c r="W42" s="50"/>
      <c r="X42" s="50"/>
      <c r="Y42" s="50"/>
      <c r="Z42" s="50"/>
    </row>
    <row r="43" spans="1:26" ht="15" customHeight="1" x14ac:dyDescent="0.35">
      <c r="A43" s="50"/>
      <c r="B43" s="53" t="s">
        <v>171</v>
      </c>
      <c r="C43" s="54" t="s">
        <v>94</v>
      </c>
      <c r="D43" s="49">
        <f>'1.Red. Purch. Cost Vasc.'!D81</f>
        <v>1000</v>
      </c>
      <c r="E43" s="49">
        <f>'1.Red. Purch. Cost Vasc.'!E81</f>
        <v>1000</v>
      </c>
      <c r="F43" s="49">
        <f>'1.Red. Purch. Cost Vasc.'!F81</f>
        <v>1000</v>
      </c>
      <c r="G43" s="49">
        <f>'1.Red. Purch. Cost Vasc.'!G81</f>
        <v>1010</v>
      </c>
      <c r="H43" s="49">
        <f>'1.Red. Purch. Cost Vasc.'!H81</f>
        <v>1020.1</v>
      </c>
      <c r="I43" s="49">
        <f>'1.Red. Purch. Cost Vasc.'!I81</f>
        <v>1030.3009999999999</v>
      </c>
      <c r="J43" s="49">
        <f>'1.Red. Purch. Cost Vasc.'!J81</f>
        <v>1040.60401</v>
      </c>
      <c r="K43" s="49">
        <f>'1.Red. Purch. Cost Vasc.'!K81</f>
        <v>1051.0100500999999</v>
      </c>
      <c r="L43" s="49">
        <f>'1.Red. Purch. Cost Vasc.'!L81</f>
        <v>1061.5201506009998</v>
      </c>
      <c r="M43" s="49">
        <f>'1.Red. Purch. Cost Vasc.'!M81</f>
        <v>1072.1353521070098</v>
      </c>
      <c r="N43" s="49">
        <f>'1.Red. Purch. Cost Vasc.'!N81</f>
        <v>1082.8567056280799</v>
      </c>
      <c r="O43" s="49">
        <f>'1.Red. Purch. Cost Vasc.'!O81</f>
        <v>1093.6852726843608</v>
      </c>
      <c r="P43" s="117">
        <f>'1.Red. Purch. Cost Vasc.'!P81</f>
        <v>1104.6221254112045</v>
      </c>
      <c r="Q43" s="50"/>
      <c r="R43" s="50"/>
      <c r="S43" s="50"/>
      <c r="T43" s="50"/>
      <c r="U43" s="50"/>
      <c r="V43" s="50"/>
      <c r="W43" s="50"/>
      <c r="X43" s="50"/>
      <c r="Y43" s="50"/>
      <c r="Z43" s="50"/>
    </row>
    <row r="44" spans="1:26" ht="15.75" customHeight="1" x14ac:dyDescent="0.35">
      <c r="A44" s="50"/>
      <c r="B44" s="53" t="s">
        <v>172</v>
      </c>
      <c r="C44" s="54" t="s">
        <v>94</v>
      </c>
      <c r="D44" s="49">
        <f>'1.Red. Purch. Cost Vasc.'!D82</f>
        <v>1000</v>
      </c>
      <c r="E44" s="49">
        <f>'1.Red. Purch. Cost Vasc.'!E82</f>
        <v>1000</v>
      </c>
      <c r="F44" s="49">
        <f>'1.Red. Purch. Cost Vasc.'!F82</f>
        <v>1000</v>
      </c>
      <c r="G44" s="49">
        <f>'1.Red. Purch. Cost Vasc.'!G82</f>
        <v>1010</v>
      </c>
      <c r="H44" s="49">
        <f>'1.Red. Purch. Cost Vasc.'!H82</f>
        <v>1020.1</v>
      </c>
      <c r="I44" s="49">
        <f>'1.Red. Purch. Cost Vasc.'!I82</f>
        <v>1030.3009999999999</v>
      </c>
      <c r="J44" s="49">
        <f>'1.Red. Purch. Cost Vasc.'!J82</f>
        <v>1040.60401</v>
      </c>
      <c r="K44" s="49">
        <f>'1.Red. Purch. Cost Vasc.'!K82</f>
        <v>1051.0100500999999</v>
      </c>
      <c r="L44" s="49">
        <f>'1.Red. Purch. Cost Vasc.'!L82</f>
        <v>1061.5201506009998</v>
      </c>
      <c r="M44" s="49">
        <f>'1.Red. Purch. Cost Vasc.'!M82</f>
        <v>1072.1353521070098</v>
      </c>
      <c r="N44" s="49">
        <f>'1.Red. Purch. Cost Vasc.'!N82</f>
        <v>1082.8567056280799</v>
      </c>
      <c r="O44" s="49">
        <f>'1.Red. Purch. Cost Vasc.'!O82</f>
        <v>1093.6852726843608</v>
      </c>
      <c r="P44" s="117">
        <f>'1.Red. Purch. Cost Vasc.'!P82</f>
        <v>1104.6221254112045</v>
      </c>
      <c r="Q44" s="50"/>
      <c r="R44" s="50"/>
      <c r="S44" s="50"/>
      <c r="T44" s="50"/>
      <c r="U44" s="50"/>
      <c r="V44" s="50"/>
      <c r="W44" s="50"/>
      <c r="X44" s="50"/>
      <c r="Y44" s="50"/>
      <c r="Z44" s="50"/>
    </row>
    <row r="45" spans="1:26" ht="15.75" customHeight="1" x14ac:dyDescent="0.35">
      <c r="A45" s="50"/>
      <c r="B45" s="53" t="s">
        <v>173</v>
      </c>
      <c r="C45" s="54" t="s">
        <v>94</v>
      </c>
      <c r="D45" s="49">
        <f>'1.Red. Purch. Cost Vasc.'!D83</f>
        <v>1000</v>
      </c>
      <c r="E45" s="49">
        <f>'1.Red. Purch. Cost Vasc.'!E83</f>
        <v>1000</v>
      </c>
      <c r="F45" s="49">
        <f>'1.Red. Purch. Cost Vasc.'!F83</f>
        <v>1000</v>
      </c>
      <c r="G45" s="49">
        <f>'1.Red. Purch. Cost Vasc.'!G83</f>
        <v>1010</v>
      </c>
      <c r="H45" s="49">
        <f>'1.Red. Purch. Cost Vasc.'!H83</f>
        <v>1020.1</v>
      </c>
      <c r="I45" s="49">
        <f>'1.Red. Purch. Cost Vasc.'!I83</f>
        <v>1030.3009999999999</v>
      </c>
      <c r="J45" s="49">
        <f>'1.Red. Purch. Cost Vasc.'!J83</f>
        <v>1040.60401</v>
      </c>
      <c r="K45" s="49">
        <f>'1.Red. Purch. Cost Vasc.'!K83</f>
        <v>1051.0100500999999</v>
      </c>
      <c r="L45" s="49">
        <f>'1.Red. Purch. Cost Vasc.'!L83</f>
        <v>1061.5201506009998</v>
      </c>
      <c r="M45" s="49">
        <f>'1.Red. Purch. Cost Vasc.'!M83</f>
        <v>1072.1353521070098</v>
      </c>
      <c r="N45" s="49">
        <f>'1.Red. Purch. Cost Vasc.'!N83</f>
        <v>1082.8567056280799</v>
      </c>
      <c r="O45" s="49">
        <f>'1.Red. Purch. Cost Vasc.'!O83</f>
        <v>1093.6852726843608</v>
      </c>
      <c r="P45" s="117">
        <f>'1.Red. Purch. Cost Vasc.'!P83</f>
        <v>1104.6221254112045</v>
      </c>
      <c r="Q45" s="50"/>
      <c r="R45" s="50"/>
      <c r="S45" s="50"/>
      <c r="T45" s="50"/>
      <c r="U45" s="50"/>
      <c r="V45" s="50"/>
      <c r="W45" s="50"/>
      <c r="X45" s="50"/>
      <c r="Y45" s="50"/>
      <c r="Z45" s="50"/>
    </row>
    <row r="46" spans="1:26" ht="15.75" customHeight="1" x14ac:dyDescent="0.35">
      <c r="A46" s="50"/>
      <c r="B46" s="53" t="s">
        <v>174</v>
      </c>
      <c r="C46" s="54" t="s">
        <v>94</v>
      </c>
      <c r="D46" s="49">
        <f>'1.Red. Purch. Cost Vasc.'!D84</f>
        <v>1000</v>
      </c>
      <c r="E46" s="49">
        <f>'1.Red. Purch. Cost Vasc.'!E84</f>
        <v>1000</v>
      </c>
      <c r="F46" s="49">
        <f>'1.Red. Purch. Cost Vasc.'!F84</f>
        <v>1000</v>
      </c>
      <c r="G46" s="49">
        <f>'1.Red. Purch. Cost Vasc.'!G84</f>
        <v>1010</v>
      </c>
      <c r="H46" s="49">
        <f>'1.Red. Purch. Cost Vasc.'!H84</f>
        <v>1020.1</v>
      </c>
      <c r="I46" s="49">
        <f>'1.Red. Purch. Cost Vasc.'!I84</f>
        <v>1030.3009999999999</v>
      </c>
      <c r="J46" s="49">
        <f>'1.Red. Purch. Cost Vasc.'!J84</f>
        <v>1040.60401</v>
      </c>
      <c r="K46" s="49">
        <f>'1.Red. Purch. Cost Vasc.'!K84</f>
        <v>1051.0100500999999</v>
      </c>
      <c r="L46" s="49">
        <f>'1.Red. Purch. Cost Vasc.'!L84</f>
        <v>1061.5201506009998</v>
      </c>
      <c r="M46" s="49">
        <f>'1.Red. Purch. Cost Vasc.'!M84</f>
        <v>1072.1353521070098</v>
      </c>
      <c r="N46" s="49">
        <f>'1.Red. Purch. Cost Vasc.'!N84</f>
        <v>1082.8567056280799</v>
      </c>
      <c r="O46" s="49">
        <f>'1.Red. Purch. Cost Vasc.'!O84</f>
        <v>1093.6852726843608</v>
      </c>
      <c r="P46" s="117">
        <f>'1.Red. Purch. Cost Vasc.'!P84</f>
        <v>1104.6221254112045</v>
      </c>
      <c r="Q46" s="50"/>
      <c r="R46" s="50"/>
      <c r="S46" s="50"/>
      <c r="T46" s="50"/>
      <c r="U46" s="50"/>
      <c r="V46" s="50"/>
      <c r="W46" s="50"/>
      <c r="X46" s="50"/>
      <c r="Y46" s="50"/>
      <c r="Z46" s="50"/>
    </row>
    <row r="47" spans="1:26" ht="15.75" customHeight="1" x14ac:dyDescent="0.35">
      <c r="A47" s="50"/>
      <c r="B47" s="53" t="s">
        <v>175</v>
      </c>
      <c r="C47" s="54" t="s">
        <v>94</v>
      </c>
      <c r="D47" s="49">
        <f>'1.Red. Purch. Cost Vasc.'!D85</f>
        <v>1000</v>
      </c>
      <c r="E47" s="49">
        <f>'1.Red. Purch. Cost Vasc.'!E85</f>
        <v>1000</v>
      </c>
      <c r="F47" s="49">
        <f>'1.Red. Purch. Cost Vasc.'!F85</f>
        <v>1000</v>
      </c>
      <c r="G47" s="49">
        <f>'1.Red. Purch. Cost Vasc.'!G85</f>
        <v>1010</v>
      </c>
      <c r="H47" s="49">
        <f>'1.Red. Purch. Cost Vasc.'!H85</f>
        <v>1020.1</v>
      </c>
      <c r="I47" s="49">
        <f>'1.Red. Purch. Cost Vasc.'!I85</f>
        <v>1030.3009999999999</v>
      </c>
      <c r="J47" s="49">
        <f>'1.Red. Purch. Cost Vasc.'!J85</f>
        <v>1040.60401</v>
      </c>
      <c r="K47" s="49">
        <f>'1.Red. Purch. Cost Vasc.'!K85</f>
        <v>1051.0100500999999</v>
      </c>
      <c r="L47" s="49">
        <f>'1.Red. Purch. Cost Vasc.'!L85</f>
        <v>1061.5201506009998</v>
      </c>
      <c r="M47" s="49">
        <f>'1.Red. Purch. Cost Vasc.'!M85</f>
        <v>1072.1353521070098</v>
      </c>
      <c r="N47" s="49">
        <f>'1.Red. Purch. Cost Vasc.'!N85</f>
        <v>1082.8567056280799</v>
      </c>
      <c r="O47" s="49">
        <f>'1.Red. Purch. Cost Vasc.'!O85</f>
        <v>1093.6852726843608</v>
      </c>
      <c r="P47" s="117">
        <f>'1.Red. Purch. Cost Vasc.'!P85</f>
        <v>1104.6221254112045</v>
      </c>
      <c r="Q47" s="50"/>
      <c r="R47" s="50"/>
      <c r="S47" s="50"/>
      <c r="T47" s="50"/>
      <c r="U47" s="50"/>
      <c r="V47" s="50"/>
      <c r="W47" s="50"/>
      <c r="X47" s="50"/>
      <c r="Y47" s="50"/>
      <c r="Z47" s="50"/>
    </row>
    <row r="48" spans="1:26" ht="15.75" customHeight="1" x14ac:dyDescent="0.35">
      <c r="A48" s="50"/>
      <c r="B48" s="53" t="s">
        <v>176</v>
      </c>
      <c r="C48" s="54" t="s">
        <v>94</v>
      </c>
      <c r="D48" s="49">
        <f>'1.Red. Purch. Cost Vasc.'!D86</f>
        <v>1000</v>
      </c>
      <c r="E48" s="49">
        <f>'1.Red. Purch. Cost Vasc.'!E86</f>
        <v>1000</v>
      </c>
      <c r="F48" s="49">
        <f>'1.Red. Purch. Cost Vasc.'!F86</f>
        <v>1000</v>
      </c>
      <c r="G48" s="49">
        <f>'1.Red. Purch. Cost Vasc.'!G86</f>
        <v>1010</v>
      </c>
      <c r="H48" s="49">
        <f>'1.Red. Purch. Cost Vasc.'!H86</f>
        <v>1020.1</v>
      </c>
      <c r="I48" s="49">
        <f>'1.Red. Purch. Cost Vasc.'!I86</f>
        <v>1030.3009999999999</v>
      </c>
      <c r="J48" s="49">
        <f>'1.Red. Purch. Cost Vasc.'!J86</f>
        <v>1040.60401</v>
      </c>
      <c r="K48" s="49">
        <f>'1.Red. Purch. Cost Vasc.'!K86</f>
        <v>1051.0100500999999</v>
      </c>
      <c r="L48" s="49">
        <f>'1.Red. Purch. Cost Vasc.'!L86</f>
        <v>1061.5201506009998</v>
      </c>
      <c r="M48" s="49">
        <f>'1.Red. Purch. Cost Vasc.'!M86</f>
        <v>1072.1353521070098</v>
      </c>
      <c r="N48" s="49">
        <f>'1.Red. Purch. Cost Vasc.'!N86</f>
        <v>1082.8567056280799</v>
      </c>
      <c r="O48" s="49">
        <f>'1.Red. Purch. Cost Vasc.'!O86</f>
        <v>1093.6852726843608</v>
      </c>
      <c r="P48" s="117">
        <f>'1.Red. Purch. Cost Vasc.'!P86</f>
        <v>1104.6221254112045</v>
      </c>
      <c r="Q48" s="50"/>
      <c r="R48" s="50"/>
      <c r="S48" s="50"/>
      <c r="T48" s="50"/>
      <c r="U48" s="50"/>
      <c r="V48" s="50"/>
      <c r="W48" s="50"/>
      <c r="X48" s="50"/>
      <c r="Y48" s="50"/>
      <c r="Z48" s="50"/>
    </row>
    <row r="49" spans="1:26" ht="15.75" customHeight="1" x14ac:dyDescent="0.35">
      <c r="A49" s="237"/>
      <c r="B49" s="238" t="s">
        <v>65</v>
      </c>
      <c r="C49" s="239"/>
      <c r="D49" s="240">
        <f t="shared" ref="D49:P49" si="3">SUM(D38:D48)</f>
        <v>11000</v>
      </c>
      <c r="E49" s="240">
        <f t="shared" si="3"/>
        <v>11000</v>
      </c>
      <c r="F49" s="240">
        <f t="shared" si="3"/>
        <v>11000</v>
      </c>
      <c r="G49" s="240">
        <f t="shared" si="3"/>
        <v>11110</v>
      </c>
      <c r="H49" s="240">
        <f t="shared" si="3"/>
        <v>11221.100000000002</v>
      </c>
      <c r="I49" s="240">
        <f t="shared" si="3"/>
        <v>11333.310999999996</v>
      </c>
      <c r="J49" s="240">
        <f t="shared" si="3"/>
        <v>11446.644109999997</v>
      </c>
      <c r="K49" s="240">
        <f t="shared" si="3"/>
        <v>11561.110551099999</v>
      </c>
      <c r="L49" s="240">
        <f t="shared" si="3"/>
        <v>11676.721656610998</v>
      </c>
      <c r="M49" s="240">
        <f t="shared" si="3"/>
        <v>11793.48887317711</v>
      </c>
      <c r="N49" s="240">
        <f t="shared" si="3"/>
        <v>11911.423761908882</v>
      </c>
      <c r="O49" s="240">
        <f t="shared" si="3"/>
        <v>12030.537999527969</v>
      </c>
      <c r="P49" s="241">
        <f t="shared" si="3"/>
        <v>12150.843379523249</v>
      </c>
      <c r="Q49" s="237"/>
      <c r="R49" s="237"/>
      <c r="S49" s="237"/>
      <c r="T49" s="237"/>
      <c r="U49" s="237"/>
      <c r="V49" s="237"/>
      <c r="W49" s="237"/>
      <c r="X49" s="237"/>
      <c r="Y49" s="237"/>
      <c r="Z49" s="237"/>
    </row>
    <row r="50" spans="1:26" ht="15.75" customHeight="1" x14ac:dyDescent="0.35">
      <c r="A50" s="50"/>
      <c r="B50" s="62" t="s">
        <v>277</v>
      </c>
      <c r="C50" s="63"/>
      <c r="D50" s="120"/>
      <c r="E50" s="50"/>
      <c r="F50" s="50"/>
      <c r="G50" s="50"/>
      <c r="H50" s="50"/>
      <c r="I50" s="50"/>
      <c r="J50" s="50"/>
      <c r="K50" s="50"/>
      <c r="L50" s="50"/>
      <c r="M50" s="50"/>
      <c r="N50" s="50"/>
      <c r="O50" s="50"/>
      <c r="P50" s="115"/>
      <c r="Q50" s="50"/>
      <c r="R50" s="50"/>
      <c r="S50" s="50"/>
      <c r="T50" s="50"/>
      <c r="U50" s="50"/>
      <c r="V50" s="50"/>
      <c r="W50" s="50"/>
      <c r="X50" s="50"/>
      <c r="Y50" s="50"/>
      <c r="Z50" s="50"/>
    </row>
    <row r="51" spans="1:26" ht="15.75" customHeight="1" x14ac:dyDescent="0.35">
      <c r="A51" s="50"/>
      <c r="B51" s="53" t="s">
        <v>165</v>
      </c>
      <c r="C51" s="54" t="s">
        <v>94</v>
      </c>
      <c r="D51" s="242">
        <f t="shared" ref="D51:P51" si="4">$D$24</f>
        <v>1.1319999999999999</v>
      </c>
      <c r="E51" s="242">
        <f t="shared" si="4"/>
        <v>1.1319999999999999</v>
      </c>
      <c r="F51" s="242">
        <f t="shared" si="4"/>
        <v>1.1319999999999999</v>
      </c>
      <c r="G51" s="242">
        <f t="shared" si="4"/>
        <v>1.1319999999999999</v>
      </c>
      <c r="H51" s="242">
        <f t="shared" si="4"/>
        <v>1.1319999999999999</v>
      </c>
      <c r="I51" s="242">
        <f t="shared" si="4"/>
        <v>1.1319999999999999</v>
      </c>
      <c r="J51" s="242">
        <f t="shared" si="4"/>
        <v>1.1319999999999999</v>
      </c>
      <c r="K51" s="242">
        <f t="shared" si="4"/>
        <v>1.1319999999999999</v>
      </c>
      <c r="L51" s="242">
        <f t="shared" si="4"/>
        <v>1.1319999999999999</v>
      </c>
      <c r="M51" s="242">
        <f t="shared" si="4"/>
        <v>1.1319999999999999</v>
      </c>
      <c r="N51" s="242">
        <f t="shared" si="4"/>
        <v>1.1319999999999999</v>
      </c>
      <c r="O51" s="242">
        <f t="shared" si="4"/>
        <v>1.1319999999999999</v>
      </c>
      <c r="P51" s="243">
        <f t="shared" si="4"/>
        <v>1.1319999999999999</v>
      </c>
      <c r="Q51" s="50"/>
      <c r="R51" s="50"/>
      <c r="S51" s="50"/>
      <c r="T51" s="50"/>
      <c r="U51" s="50"/>
      <c r="V51" s="50"/>
      <c r="W51" s="50"/>
      <c r="X51" s="50"/>
      <c r="Y51" s="50"/>
      <c r="Z51" s="50"/>
    </row>
    <row r="52" spans="1:26" ht="15.75" customHeight="1" x14ac:dyDescent="0.35">
      <c r="A52" s="50"/>
      <c r="B52" s="53" t="s">
        <v>166</v>
      </c>
      <c r="C52" s="54" t="s">
        <v>94</v>
      </c>
      <c r="D52" s="242">
        <f t="shared" ref="D52:P52" si="5">$D$24</f>
        <v>1.1319999999999999</v>
      </c>
      <c r="E52" s="242">
        <f t="shared" si="5"/>
        <v>1.1319999999999999</v>
      </c>
      <c r="F52" s="242">
        <f t="shared" si="5"/>
        <v>1.1319999999999999</v>
      </c>
      <c r="G52" s="242">
        <f t="shared" si="5"/>
        <v>1.1319999999999999</v>
      </c>
      <c r="H52" s="242">
        <f t="shared" si="5"/>
        <v>1.1319999999999999</v>
      </c>
      <c r="I52" s="242">
        <f t="shared" si="5"/>
        <v>1.1319999999999999</v>
      </c>
      <c r="J52" s="242">
        <f t="shared" si="5"/>
        <v>1.1319999999999999</v>
      </c>
      <c r="K52" s="242">
        <f t="shared" si="5"/>
        <v>1.1319999999999999</v>
      </c>
      <c r="L52" s="242">
        <f t="shared" si="5"/>
        <v>1.1319999999999999</v>
      </c>
      <c r="M52" s="242">
        <f t="shared" si="5"/>
        <v>1.1319999999999999</v>
      </c>
      <c r="N52" s="242">
        <f t="shared" si="5"/>
        <v>1.1319999999999999</v>
      </c>
      <c r="O52" s="242">
        <f t="shared" si="5"/>
        <v>1.1319999999999999</v>
      </c>
      <c r="P52" s="243">
        <f t="shared" si="5"/>
        <v>1.1319999999999999</v>
      </c>
      <c r="Q52" s="50"/>
      <c r="R52" s="50"/>
      <c r="S52" s="50"/>
      <c r="T52" s="50"/>
      <c r="U52" s="50"/>
      <c r="V52" s="50"/>
      <c r="W52" s="50"/>
      <c r="X52" s="50"/>
      <c r="Y52" s="50"/>
      <c r="Z52" s="50"/>
    </row>
    <row r="53" spans="1:26" ht="15.75" customHeight="1" x14ac:dyDescent="0.35">
      <c r="A53" s="50"/>
      <c r="B53" s="53" t="s">
        <v>167</v>
      </c>
      <c r="C53" s="54" t="s">
        <v>94</v>
      </c>
      <c r="D53" s="242">
        <f t="shared" ref="D53:P53" si="6">$D$24</f>
        <v>1.1319999999999999</v>
      </c>
      <c r="E53" s="242">
        <f t="shared" si="6"/>
        <v>1.1319999999999999</v>
      </c>
      <c r="F53" s="242">
        <f t="shared" si="6"/>
        <v>1.1319999999999999</v>
      </c>
      <c r="G53" s="242">
        <f t="shared" si="6"/>
        <v>1.1319999999999999</v>
      </c>
      <c r="H53" s="242">
        <f t="shared" si="6"/>
        <v>1.1319999999999999</v>
      </c>
      <c r="I53" s="242">
        <f t="shared" si="6"/>
        <v>1.1319999999999999</v>
      </c>
      <c r="J53" s="242">
        <f t="shared" si="6"/>
        <v>1.1319999999999999</v>
      </c>
      <c r="K53" s="242">
        <f t="shared" si="6"/>
        <v>1.1319999999999999</v>
      </c>
      <c r="L53" s="242">
        <f t="shared" si="6"/>
        <v>1.1319999999999999</v>
      </c>
      <c r="M53" s="242">
        <f t="shared" si="6"/>
        <v>1.1319999999999999</v>
      </c>
      <c r="N53" s="242">
        <f t="shared" si="6"/>
        <v>1.1319999999999999</v>
      </c>
      <c r="O53" s="242">
        <f t="shared" si="6"/>
        <v>1.1319999999999999</v>
      </c>
      <c r="P53" s="243">
        <f t="shared" si="6"/>
        <v>1.1319999999999999</v>
      </c>
      <c r="Q53" s="50"/>
      <c r="R53" s="50"/>
      <c r="S53" s="50"/>
      <c r="T53" s="50"/>
      <c r="U53" s="50"/>
      <c r="V53" s="50"/>
      <c r="W53" s="50"/>
      <c r="X53" s="50"/>
      <c r="Y53" s="50"/>
      <c r="Z53" s="50"/>
    </row>
    <row r="54" spans="1:26" ht="15.75" customHeight="1" x14ac:dyDescent="0.35">
      <c r="A54" s="50"/>
      <c r="B54" s="53" t="s">
        <v>169</v>
      </c>
      <c r="C54" s="54" t="s">
        <v>94</v>
      </c>
      <c r="D54" s="242">
        <f t="shared" ref="D54:P54" si="7">$D$24</f>
        <v>1.1319999999999999</v>
      </c>
      <c r="E54" s="242">
        <f t="shared" si="7"/>
        <v>1.1319999999999999</v>
      </c>
      <c r="F54" s="242">
        <f t="shared" si="7"/>
        <v>1.1319999999999999</v>
      </c>
      <c r="G54" s="242">
        <f t="shared" si="7"/>
        <v>1.1319999999999999</v>
      </c>
      <c r="H54" s="242">
        <f t="shared" si="7"/>
        <v>1.1319999999999999</v>
      </c>
      <c r="I54" s="242">
        <f t="shared" si="7"/>
        <v>1.1319999999999999</v>
      </c>
      <c r="J54" s="242">
        <f t="shared" si="7"/>
        <v>1.1319999999999999</v>
      </c>
      <c r="K54" s="242">
        <f t="shared" si="7"/>
        <v>1.1319999999999999</v>
      </c>
      <c r="L54" s="242">
        <f t="shared" si="7"/>
        <v>1.1319999999999999</v>
      </c>
      <c r="M54" s="242">
        <f t="shared" si="7"/>
        <v>1.1319999999999999</v>
      </c>
      <c r="N54" s="242">
        <f t="shared" si="7"/>
        <v>1.1319999999999999</v>
      </c>
      <c r="O54" s="242">
        <f t="shared" si="7"/>
        <v>1.1319999999999999</v>
      </c>
      <c r="P54" s="243">
        <f t="shared" si="7"/>
        <v>1.1319999999999999</v>
      </c>
      <c r="Q54" s="50"/>
      <c r="R54" s="50"/>
      <c r="S54" s="50"/>
      <c r="T54" s="50"/>
      <c r="U54" s="50"/>
      <c r="V54" s="50"/>
      <c r="W54" s="50"/>
      <c r="X54" s="50"/>
      <c r="Y54" s="50"/>
      <c r="Z54" s="50"/>
    </row>
    <row r="55" spans="1:26" ht="15.75" customHeight="1" x14ac:dyDescent="0.35">
      <c r="A55" s="50"/>
      <c r="B55" s="53" t="s">
        <v>170</v>
      </c>
      <c r="C55" s="54" t="s">
        <v>94</v>
      </c>
      <c r="D55" s="242">
        <f t="shared" ref="D55:P55" si="8">$D$24</f>
        <v>1.1319999999999999</v>
      </c>
      <c r="E55" s="242">
        <f t="shared" si="8"/>
        <v>1.1319999999999999</v>
      </c>
      <c r="F55" s="242">
        <f t="shared" si="8"/>
        <v>1.1319999999999999</v>
      </c>
      <c r="G55" s="242">
        <f t="shared" si="8"/>
        <v>1.1319999999999999</v>
      </c>
      <c r="H55" s="242">
        <f t="shared" si="8"/>
        <v>1.1319999999999999</v>
      </c>
      <c r="I55" s="242">
        <f t="shared" si="8"/>
        <v>1.1319999999999999</v>
      </c>
      <c r="J55" s="242">
        <f t="shared" si="8"/>
        <v>1.1319999999999999</v>
      </c>
      <c r="K55" s="242">
        <f t="shared" si="8"/>
        <v>1.1319999999999999</v>
      </c>
      <c r="L55" s="242">
        <f t="shared" si="8"/>
        <v>1.1319999999999999</v>
      </c>
      <c r="M55" s="242">
        <f t="shared" si="8"/>
        <v>1.1319999999999999</v>
      </c>
      <c r="N55" s="242">
        <f t="shared" si="8"/>
        <v>1.1319999999999999</v>
      </c>
      <c r="O55" s="242">
        <f t="shared" si="8"/>
        <v>1.1319999999999999</v>
      </c>
      <c r="P55" s="243">
        <f t="shared" si="8"/>
        <v>1.1319999999999999</v>
      </c>
      <c r="Q55" s="50"/>
      <c r="R55" s="50"/>
      <c r="S55" s="50"/>
      <c r="T55" s="50"/>
      <c r="U55" s="50"/>
      <c r="V55" s="50"/>
      <c r="W55" s="50"/>
      <c r="X55" s="50"/>
      <c r="Y55" s="50"/>
      <c r="Z55" s="50"/>
    </row>
    <row r="56" spans="1:26" ht="15.75" customHeight="1" x14ac:dyDescent="0.35">
      <c r="A56" s="50"/>
      <c r="B56" s="53" t="s">
        <v>171</v>
      </c>
      <c r="C56" s="54" t="s">
        <v>94</v>
      </c>
      <c r="D56" s="242">
        <f t="shared" ref="D56:P56" si="9">$D$24</f>
        <v>1.1319999999999999</v>
      </c>
      <c r="E56" s="242">
        <f t="shared" si="9"/>
        <v>1.1319999999999999</v>
      </c>
      <c r="F56" s="242">
        <f t="shared" si="9"/>
        <v>1.1319999999999999</v>
      </c>
      <c r="G56" s="242">
        <f t="shared" si="9"/>
        <v>1.1319999999999999</v>
      </c>
      <c r="H56" s="242">
        <f t="shared" si="9"/>
        <v>1.1319999999999999</v>
      </c>
      <c r="I56" s="242">
        <f t="shared" si="9"/>
        <v>1.1319999999999999</v>
      </c>
      <c r="J56" s="242">
        <f t="shared" si="9"/>
        <v>1.1319999999999999</v>
      </c>
      <c r="K56" s="242">
        <f t="shared" si="9"/>
        <v>1.1319999999999999</v>
      </c>
      <c r="L56" s="242">
        <f t="shared" si="9"/>
        <v>1.1319999999999999</v>
      </c>
      <c r="M56" s="242">
        <f t="shared" si="9"/>
        <v>1.1319999999999999</v>
      </c>
      <c r="N56" s="242">
        <f t="shared" si="9"/>
        <v>1.1319999999999999</v>
      </c>
      <c r="O56" s="242">
        <f t="shared" si="9"/>
        <v>1.1319999999999999</v>
      </c>
      <c r="P56" s="243">
        <f t="shared" si="9"/>
        <v>1.1319999999999999</v>
      </c>
      <c r="Q56" s="50"/>
      <c r="R56" s="50"/>
      <c r="S56" s="50"/>
      <c r="T56" s="50"/>
      <c r="U56" s="50"/>
      <c r="V56" s="50"/>
      <c r="W56" s="50"/>
      <c r="X56" s="50"/>
      <c r="Y56" s="50"/>
      <c r="Z56" s="50"/>
    </row>
    <row r="57" spans="1:26" ht="15.75" customHeight="1" x14ac:dyDescent="0.35">
      <c r="A57" s="50"/>
      <c r="B57" s="53" t="s">
        <v>172</v>
      </c>
      <c r="C57" s="54" t="s">
        <v>94</v>
      </c>
      <c r="D57" s="242">
        <f t="shared" ref="D57:P57" si="10">$D$24</f>
        <v>1.1319999999999999</v>
      </c>
      <c r="E57" s="242">
        <f t="shared" si="10"/>
        <v>1.1319999999999999</v>
      </c>
      <c r="F57" s="242">
        <f t="shared" si="10"/>
        <v>1.1319999999999999</v>
      </c>
      <c r="G57" s="242">
        <f t="shared" si="10"/>
        <v>1.1319999999999999</v>
      </c>
      <c r="H57" s="242">
        <f t="shared" si="10"/>
        <v>1.1319999999999999</v>
      </c>
      <c r="I57" s="242">
        <f t="shared" si="10"/>
        <v>1.1319999999999999</v>
      </c>
      <c r="J57" s="242">
        <f t="shared" si="10"/>
        <v>1.1319999999999999</v>
      </c>
      <c r="K57" s="242">
        <f t="shared" si="10"/>
        <v>1.1319999999999999</v>
      </c>
      <c r="L57" s="242">
        <f t="shared" si="10"/>
        <v>1.1319999999999999</v>
      </c>
      <c r="M57" s="242">
        <f t="shared" si="10"/>
        <v>1.1319999999999999</v>
      </c>
      <c r="N57" s="242">
        <f t="shared" si="10"/>
        <v>1.1319999999999999</v>
      </c>
      <c r="O57" s="242">
        <f t="shared" si="10"/>
        <v>1.1319999999999999</v>
      </c>
      <c r="P57" s="243">
        <f t="shared" si="10"/>
        <v>1.1319999999999999</v>
      </c>
      <c r="Q57" s="50"/>
      <c r="R57" s="50"/>
      <c r="S57" s="50"/>
      <c r="T57" s="50"/>
      <c r="U57" s="50"/>
      <c r="V57" s="50"/>
      <c r="W57" s="50"/>
      <c r="X57" s="50"/>
      <c r="Y57" s="50"/>
      <c r="Z57" s="50"/>
    </row>
    <row r="58" spans="1:26" ht="15.75" customHeight="1" x14ac:dyDescent="0.35">
      <c r="A58" s="50"/>
      <c r="B58" s="53" t="s">
        <v>173</v>
      </c>
      <c r="C58" s="54" t="s">
        <v>94</v>
      </c>
      <c r="D58" s="242">
        <f t="shared" ref="D58:P58" si="11">$D$24</f>
        <v>1.1319999999999999</v>
      </c>
      <c r="E58" s="242">
        <f t="shared" si="11"/>
        <v>1.1319999999999999</v>
      </c>
      <c r="F58" s="242">
        <f t="shared" si="11"/>
        <v>1.1319999999999999</v>
      </c>
      <c r="G58" s="242">
        <f t="shared" si="11"/>
        <v>1.1319999999999999</v>
      </c>
      <c r="H58" s="242">
        <f t="shared" si="11"/>
        <v>1.1319999999999999</v>
      </c>
      <c r="I58" s="242">
        <f t="shared" si="11"/>
        <v>1.1319999999999999</v>
      </c>
      <c r="J58" s="242">
        <f t="shared" si="11"/>
        <v>1.1319999999999999</v>
      </c>
      <c r="K58" s="242">
        <f t="shared" si="11"/>
        <v>1.1319999999999999</v>
      </c>
      <c r="L58" s="242">
        <f t="shared" si="11"/>
        <v>1.1319999999999999</v>
      </c>
      <c r="M58" s="242">
        <f t="shared" si="11"/>
        <v>1.1319999999999999</v>
      </c>
      <c r="N58" s="242">
        <f t="shared" si="11"/>
        <v>1.1319999999999999</v>
      </c>
      <c r="O58" s="242">
        <f t="shared" si="11"/>
        <v>1.1319999999999999</v>
      </c>
      <c r="P58" s="243">
        <f t="shared" si="11"/>
        <v>1.1319999999999999</v>
      </c>
      <c r="Q58" s="50"/>
      <c r="R58" s="50"/>
      <c r="S58" s="50"/>
      <c r="T58" s="50"/>
      <c r="U58" s="50"/>
      <c r="V58" s="50"/>
      <c r="W58" s="50"/>
      <c r="X58" s="50"/>
      <c r="Y58" s="50"/>
      <c r="Z58" s="50"/>
    </row>
    <row r="59" spans="1:26" ht="15.75" customHeight="1" x14ac:dyDescent="0.35">
      <c r="A59" s="50"/>
      <c r="B59" s="53" t="s">
        <v>174</v>
      </c>
      <c r="C59" s="54" t="s">
        <v>94</v>
      </c>
      <c r="D59" s="242">
        <f t="shared" ref="D59:P59" si="12">$D$24</f>
        <v>1.1319999999999999</v>
      </c>
      <c r="E59" s="242">
        <f t="shared" si="12"/>
        <v>1.1319999999999999</v>
      </c>
      <c r="F59" s="242">
        <f t="shared" si="12"/>
        <v>1.1319999999999999</v>
      </c>
      <c r="G59" s="242">
        <f t="shared" si="12"/>
        <v>1.1319999999999999</v>
      </c>
      <c r="H59" s="242">
        <f t="shared" si="12"/>
        <v>1.1319999999999999</v>
      </c>
      <c r="I59" s="242">
        <f t="shared" si="12"/>
        <v>1.1319999999999999</v>
      </c>
      <c r="J59" s="242">
        <f t="shared" si="12"/>
        <v>1.1319999999999999</v>
      </c>
      <c r="K59" s="242">
        <f t="shared" si="12"/>
        <v>1.1319999999999999</v>
      </c>
      <c r="L59" s="242">
        <f t="shared" si="12"/>
        <v>1.1319999999999999</v>
      </c>
      <c r="M59" s="242">
        <f t="shared" si="12"/>
        <v>1.1319999999999999</v>
      </c>
      <c r="N59" s="242">
        <f t="shared" si="12"/>
        <v>1.1319999999999999</v>
      </c>
      <c r="O59" s="242">
        <f t="shared" si="12"/>
        <v>1.1319999999999999</v>
      </c>
      <c r="P59" s="243">
        <f t="shared" si="12"/>
        <v>1.1319999999999999</v>
      </c>
      <c r="Q59" s="50"/>
      <c r="R59" s="50"/>
      <c r="S59" s="50"/>
      <c r="T59" s="50"/>
      <c r="U59" s="50"/>
      <c r="V59" s="50"/>
      <c r="W59" s="50"/>
      <c r="X59" s="50"/>
      <c r="Y59" s="50"/>
      <c r="Z59" s="50"/>
    </row>
    <row r="60" spans="1:26" ht="15.75" customHeight="1" x14ac:dyDescent="0.35">
      <c r="A60" s="50"/>
      <c r="B60" s="53" t="s">
        <v>175</v>
      </c>
      <c r="C60" s="54" t="s">
        <v>94</v>
      </c>
      <c r="D60" s="242">
        <f t="shared" ref="D60:P60" si="13">$D$24</f>
        <v>1.1319999999999999</v>
      </c>
      <c r="E60" s="242">
        <f t="shared" si="13"/>
        <v>1.1319999999999999</v>
      </c>
      <c r="F60" s="242">
        <f t="shared" si="13"/>
        <v>1.1319999999999999</v>
      </c>
      <c r="G60" s="242">
        <f t="shared" si="13"/>
        <v>1.1319999999999999</v>
      </c>
      <c r="H60" s="242">
        <f t="shared" si="13"/>
        <v>1.1319999999999999</v>
      </c>
      <c r="I60" s="242">
        <f t="shared" si="13"/>
        <v>1.1319999999999999</v>
      </c>
      <c r="J60" s="242">
        <f t="shared" si="13"/>
        <v>1.1319999999999999</v>
      </c>
      <c r="K60" s="242">
        <f t="shared" si="13"/>
        <v>1.1319999999999999</v>
      </c>
      <c r="L60" s="242">
        <f t="shared" si="13"/>
        <v>1.1319999999999999</v>
      </c>
      <c r="M60" s="242">
        <f t="shared" si="13"/>
        <v>1.1319999999999999</v>
      </c>
      <c r="N60" s="242">
        <f t="shared" si="13"/>
        <v>1.1319999999999999</v>
      </c>
      <c r="O60" s="242">
        <f t="shared" si="13"/>
        <v>1.1319999999999999</v>
      </c>
      <c r="P60" s="243">
        <f t="shared" si="13"/>
        <v>1.1319999999999999</v>
      </c>
      <c r="Q60" s="50"/>
      <c r="R60" s="50"/>
      <c r="S60" s="50"/>
      <c r="T60" s="50"/>
      <c r="U60" s="50"/>
      <c r="V60" s="50"/>
      <c r="W60" s="50"/>
      <c r="X60" s="50"/>
      <c r="Y60" s="50"/>
      <c r="Z60" s="50"/>
    </row>
    <row r="61" spans="1:26" ht="15.75" customHeight="1" x14ac:dyDescent="0.35">
      <c r="A61" s="50"/>
      <c r="B61" s="53" t="s">
        <v>176</v>
      </c>
      <c r="C61" s="54" t="s">
        <v>94</v>
      </c>
      <c r="D61" s="242">
        <f t="shared" ref="D61:P61" si="14">$D$24</f>
        <v>1.1319999999999999</v>
      </c>
      <c r="E61" s="242">
        <f t="shared" si="14"/>
        <v>1.1319999999999999</v>
      </c>
      <c r="F61" s="242">
        <f t="shared" si="14"/>
        <v>1.1319999999999999</v>
      </c>
      <c r="G61" s="242">
        <f t="shared" si="14"/>
        <v>1.1319999999999999</v>
      </c>
      <c r="H61" s="242">
        <f t="shared" si="14"/>
        <v>1.1319999999999999</v>
      </c>
      <c r="I61" s="242">
        <f t="shared" si="14"/>
        <v>1.1319999999999999</v>
      </c>
      <c r="J61" s="242">
        <f t="shared" si="14"/>
        <v>1.1319999999999999</v>
      </c>
      <c r="K61" s="242">
        <f t="shared" si="14"/>
        <v>1.1319999999999999</v>
      </c>
      <c r="L61" s="242">
        <f t="shared" si="14"/>
        <v>1.1319999999999999</v>
      </c>
      <c r="M61" s="242">
        <f t="shared" si="14"/>
        <v>1.1319999999999999</v>
      </c>
      <c r="N61" s="242">
        <f t="shared" si="14"/>
        <v>1.1319999999999999</v>
      </c>
      <c r="O61" s="242">
        <f t="shared" si="14"/>
        <v>1.1319999999999999</v>
      </c>
      <c r="P61" s="243">
        <f t="shared" si="14"/>
        <v>1.1319999999999999</v>
      </c>
      <c r="Q61" s="50"/>
      <c r="R61" s="50"/>
      <c r="S61" s="50"/>
      <c r="T61" s="50"/>
      <c r="U61" s="50"/>
      <c r="V61" s="50"/>
      <c r="W61" s="50"/>
      <c r="X61" s="50"/>
      <c r="Y61" s="50"/>
      <c r="Z61" s="50"/>
    </row>
    <row r="62" spans="1:26" ht="15.75" customHeight="1" x14ac:dyDescent="0.35">
      <c r="A62" s="50"/>
      <c r="B62" s="53"/>
      <c r="C62" s="63"/>
      <c r="D62" s="242"/>
      <c r="E62" s="242"/>
      <c r="F62" s="242"/>
      <c r="G62" s="242"/>
      <c r="H62" s="242"/>
      <c r="I62" s="242"/>
      <c r="J62" s="242"/>
      <c r="K62" s="242"/>
      <c r="L62" s="242"/>
      <c r="M62" s="242"/>
      <c r="N62" s="242"/>
      <c r="O62" s="242"/>
      <c r="P62" s="243"/>
      <c r="Q62" s="50"/>
      <c r="R62" s="50"/>
      <c r="S62" s="50"/>
      <c r="T62" s="50"/>
      <c r="U62" s="50"/>
      <c r="V62" s="50"/>
      <c r="W62" s="50"/>
      <c r="X62" s="50"/>
      <c r="Y62" s="50"/>
      <c r="Z62" s="50"/>
    </row>
    <row r="63" spans="1:26" ht="15.75" customHeight="1" x14ac:dyDescent="0.35">
      <c r="A63" s="50"/>
      <c r="B63" s="46" t="s">
        <v>317</v>
      </c>
      <c r="C63" s="65"/>
      <c r="D63" s="123"/>
      <c r="E63" s="123"/>
      <c r="F63" s="123"/>
      <c r="G63" s="50"/>
      <c r="H63" s="50"/>
      <c r="I63" s="50"/>
      <c r="J63" s="50"/>
      <c r="K63" s="50"/>
      <c r="L63" s="50"/>
      <c r="M63" s="50"/>
      <c r="N63" s="50"/>
      <c r="O63" s="50"/>
      <c r="P63" s="115"/>
      <c r="Q63" s="50"/>
      <c r="R63" s="50"/>
      <c r="S63" s="50"/>
      <c r="T63" s="50"/>
      <c r="U63" s="50"/>
      <c r="V63" s="50"/>
      <c r="W63" s="50"/>
      <c r="X63" s="50"/>
      <c r="Y63" s="50"/>
      <c r="Z63" s="50"/>
    </row>
    <row r="64" spans="1:26" ht="15.75" customHeight="1" x14ac:dyDescent="0.35">
      <c r="A64" s="50"/>
      <c r="B64" s="53" t="s">
        <v>165</v>
      </c>
      <c r="C64" s="54" t="s">
        <v>94</v>
      </c>
      <c r="D64" s="120">
        <f t="shared" ref="D64:F64" si="15">D12</f>
        <v>100</v>
      </c>
      <c r="E64" s="120">
        <f t="shared" si="15"/>
        <v>100</v>
      </c>
      <c r="F64" s="120">
        <f t="shared" si="15"/>
        <v>100</v>
      </c>
      <c r="G64" s="120">
        <f t="shared" ref="G64:P64" si="16">F64*(1+$D$28)</f>
        <v>110.00000000000001</v>
      </c>
      <c r="H64" s="120">
        <f t="shared" si="16"/>
        <v>121.00000000000003</v>
      </c>
      <c r="I64" s="120">
        <f t="shared" si="16"/>
        <v>133.10000000000005</v>
      </c>
      <c r="J64" s="120">
        <f t="shared" si="16"/>
        <v>146.41000000000008</v>
      </c>
      <c r="K64" s="120">
        <f t="shared" si="16"/>
        <v>161.0510000000001</v>
      </c>
      <c r="L64" s="120">
        <f t="shared" si="16"/>
        <v>177.15610000000012</v>
      </c>
      <c r="M64" s="120">
        <f t="shared" si="16"/>
        <v>194.87171000000015</v>
      </c>
      <c r="N64" s="120">
        <f t="shared" si="16"/>
        <v>214.3588810000002</v>
      </c>
      <c r="O64" s="120">
        <f t="shared" si="16"/>
        <v>235.79476910000022</v>
      </c>
      <c r="P64" s="124">
        <f t="shared" si="16"/>
        <v>259.37424601000026</v>
      </c>
      <c r="Q64" s="50"/>
      <c r="R64" s="50"/>
      <c r="S64" s="50"/>
      <c r="T64" s="50"/>
      <c r="U64" s="50"/>
      <c r="V64" s="50"/>
      <c r="W64" s="50"/>
      <c r="X64" s="50"/>
      <c r="Y64" s="50"/>
      <c r="Z64" s="50"/>
    </row>
    <row r="65" spans="1:26" ht="15.75" customHeight="1" x14ac:dyDescent="0.35">
      <c r="A65" s="50"/>
      <c r="B65" s="53" t="s">
        <v>166</v>
      </c>
      <c r="C65" s="54" t="s">
        <v>94</v>
      </c>
      <c r="D65" s="120">
        <f t="shared" ref="D65:F65" si="17">D13</f>
        <v>100</v>
      </c>
      <c r="E65" s="120">
        <f t="shared" si="17"/>
        <v>100</v>
      </c>
      <c r="F65" s="120">
        <f t="shared" si="17"/>
        <v>100</v>
      </c>
      <c r="G65" s="120">
        <f t="shared" ref="G65:P65" si="18">F65*(1+$D$28)</f>
        <v>110.00000000000001</v>
      </c>
      <c r="H65" s="120">
        <f t="shared" si="18"/>
        <v>121.00000000000003</v>
      </c>
      <c r="I65" s="120">
        <f t="shared" si="18"/>
        <v>133.10000000000005</v>
      </c>
      <c r="J65" s="120">
        <f t="shared" si="18"/>
        <v>146.41000000000008</v>
      </c>
      <c r="K65" s="120">
        <f t="shared" si="18"/>
        <v>161.0510000000001</v>
      </c>
      <c r="L65" s="120">
        <f t="shared" si="18"/>
        <v>177.15610000000012</v>
      </c>
      <c r="M65" s="120">
        <f t="shared" si="18"/>
        <v>194.87171000000015</v>
      </c>
      <c r="N65" s="120">
        <f t="shared" si="18"/>
        <v>214.3588810000002</v>
      </c>
      <c r="O65" s="120">
        <f t="shared" si="18"/>
        <v>235.79476910000022</v>
      </c>
      <c r="P65" s="124">
        <f t="shared" si="18"/>
        <v>259.37424601000026</v>
      </c>
      <c r="Q65" s="50"/>
      <c r="R65" s="50"/>
      <c r="S65" s="50"/>
      <c r="T65" s="50"/>
      <c r="U65" s="50"/>
      <c r="V65" s="50"/>
      <c r="W65" s="50"/>
      <c r="X65" s="50"/>
      <c r="Y65" s="50"/>
      <c r="Z65" s="50"/>
    </row>
    <row r="66" spans="1:26" ht="15.75" customHeight="1" x14ac:dyDescent="0.35">
      <c r="A66" s="50"/>
      <c r="B66" s="53" t="s">
        <v>167</v>
      </c>
      <c r="C66" s="54" t="s">
        <v>94</v>
      </c>
      <c r="D66" s="120">
        <f t="shared" ref="D66:F66" si="19">D14</f>
        <v>100</v>
      </c>
      <c r="E66" s="120">
        <f t="shared" si="19"/>
        <v>100</v>
      </c>
      <c r="F66" s="120">
        <f t="shared" si="19"/>
        <v>100</v>
      </c>
      <c r="G66" s="120">
        <f t="shared" ref="G66:P66" si="20">F66*(1+$D$28)</f>
        <v>110.00000000000001</v>
      </c>
      <c r="H66" s="120">
        <f t="shared" si="20"/>
        <v>121.00000000000003</v>
      </c>
      <c r="I66" s="120">
        <f t="shared" si="20"/>
        <v>133.10000000000005</v>
      </c>
      <c r="J66" s="120">
        <f t="shared" si="20"/>
        <v>146.41000000000008</v>
      </c>
      <c r="K66" s="120">
        <f t="shared" si="20"/>
        <v>161.0510000000001</v>
      </c>
      <c r="L66" s="120">
        <f t="shared" si="20"/>
        <v>177.15610000000012</v>
      </c>
      <c r="M66" s="120">
        <f t="shared" si="20"/>
        <v>194.87171000000015</v>
      </c>
      <c r="N66" s="120">
        <f t="shared" si="20"/>
        <v>214.3588810000002</v>
      </c>
      <c r="O66" s="120">
        <f t="shared" si="20"/>
        <v>235.79476910000022</v>
      </c>
      <c r="P66" s="124">
        <f t="shared" si="20"/>
        <v>259.37424601000026</v>
      </c>
      <c r="Q66" s="50"/>
      <c r="R66" s="50"/>
      <c r="S66" s="50"/>
      <c r="T66" s="50"/>
      <c r="U66" s="50"/>
      <c r="V66" s="50"/>
      <c r="W66" s="50"/>
      <c r="X66" s="50"/>
      <c r="Y66" s="50"/>
      <c r="Z66" s="50"/>
    </row>
    <row r="67" spans="1:26" ht="15.75" customHeight="1" x14ac:dyDescent="0.35">
      <c r="A67" s="50"/>
      <c r="B67" s="53" t="s">
        <v>169</v>
      </c>
      <c r="C67" s="54" t="s">
        <v>94</v>
      </c>
      <c r="D67" s="120">
        <f t="shared" ref="D67:F67" si="21">D15</f>
        <v>100</v>
      </c>
      <c r="E67" s="120">
        <f t="shared" si="21"/>
        <v>100</v>
      </c>
      <c r="F67" s="120">
        <f t="shared" si="21"/>
        <v>100</v>
      </c>
      <c r="G67" s="120">
        <f t="shared" ref="G67:P67" si="22">F67*(1+$D$28)</f>
        <v>110.00000000000001</v>
      </c>
      <c r="H67" s="120">
        <f t="shared" si="22"/>
        <v>121.00000000000003</v>
      </c>
      <c r="I67" s="120">
        <f t="shared" si="22"/>
        <v>133.10000000000005</v>
      </c>
      <c r="J67" s="120">
        <f t="shared" si="22"/>
        <v>146.41000000000008</v>
      </c>
      <c r="K67" s="120">
        <f t="shared" si="22"/>
        <v>161.0510000000001</v>
      </c>
      <c r="L67" s="120">
        <f t="shared" si="22"/>
        <v>177.15610000000012</v>
      </c>
      <c r="M67" s="120">
        <f t="shared" si="22"/>
        <v>194.87171000000015</v>
      </c>
      <c r="N67" s="120">
        <f t="shared" si="22"/>
        <v>214.3588810000002</v>
      </c>
      <c r="O67" s="120">
        <f t="shared" si="22"/>
        <v>235.79476910000022</v>
      </c>
      <c r="P67" s="124">
        <f t="shared" si="22"/>
        <v>259.37424601000026</v>
      </c>
      <c r="Q67" s="50"/>
      <c r="R67" s="50"/>
      <c r="S67" s="50"/>
      <c r="T67" s="50"/>
      <c r="U67" s="50"/>
      <c r="V67" s="50"/>
      <c r="W67" s="50"/>
      <c r="X67" s="50"/>
      <c r="Y67" s="50"/>
      <c r="Z67" s="50"/>
    </row>
    <row r="68" spans="1:26" ht="15.75" customHeight="1" x14ac:dyDescent="0.35">
      <c r="A68" s="50"/>
      <c r="B68" s="53" t="s">
        <v>170</v>
      </c>
      <c r="C68" s="54" t="s">
        <v>94</v>
      </c>
      <c r="D68" s="120">
        <f t="shared" ref="D68:F68" si="23">D16</f>
        <v>100</v>
      </c>
      <c r="E68" s="120">
        <f t="shared" si="23"/>
        <v>100</v>
      </c>
      <c r="F68" s="120">
        <f t="shared" si="23"/>
        <v>100</v>
      </c>
      <c r="G68" s="120">
        <f t="shared" ref="G68:P68" si="24">F68*(1+$D$28)</f>
        <v>110.00000000000001</v>
      </c>
      <c r="H68" s="120">
        <f t="shared" si="24"/>
        <v>121.00000000000003</v>
      </c>
      <c r="I68" s="120">
        <f t="shared" si="24"/>
        <v>133.10000000000005</v>
      </c>
      <c r="J68" s="120">
        <f t="shared" si="24"/>
        <v>146.41000000000008</v>
      </c>
      <c r="K68" s="120">
        <f t="shared" si="24"/>
        <v>161.0510000000001</v>
      </c>
      <c r="L68" s="120">
        <f t="shared" si="24"/>
        <v>177.15610000000012</v>
      </c>
      <c r="M68" s="120">
        <f t="shared" si="24"/>
        <v>194.87171000000015</v>
      </c>
      <c r="N68" s="120">
        <f t="shared" si="24"/>
        <v>214.3588810000002</v>
      </c>
      <c r="O68" s="120">
        <f t="shared" si="24"/>
        <v>235.79476910000022</v>
      </c>
      <c r="P68" s="124">
        <f t="shared" si="24"/>
        <v>259.37424601000026</v>
      </c>
      <c r="Q68" s="50"/>
      <c r="R68" s="50"/>
      <c r="S68" s="50"/>
      <c r="T68" s="50"/>
      <c r="U68" s="50"/>
      <c r="V68" s="50"/>
      <c r="W68" s="50"/>
      <c r="X68" s="50"/>
      <c r="Y68" s="50"/>
      <c r="Z68" s="50"/>
    </row>
    <row r="69" spans="1:26" ht="15.75" customHeight="1" x14ac:dyDescent="0.35">
      <c r="A69" s="50"/>
      <c r="B69" s="53" t="s">
        <v>171</v>
      </c>
      <c r="C69" s="54" t="s">
        <v>94</v>
      </c>
      <c r="D69" s="120">
        <f t="shared" ref="D69:F69" si="25">D17</f>
        <v>100</v>
      </c>
      <c r="E69" s="120">
        <f t="shared" si="25"/>
        <v>100</v>
      </c>
      <c r="F69" s="120">
        <f t="shared" si="25"/>
        <v>100</v>
      </c>
      <c r="G69" s="120">
        <f t="shared" ref="G69:P69" si="26">F69*(1+$D$28)</f>
        <v>110.00000000000001</v>
      </c>
      <c r="H69" s="120">
        <f t="shared" si="26"/>
        <v>121.00000000000003</v>
      </c>
      <c r="I69" s="120">
        <f t="shared" si="26"/>
        <v>133.10000000000005</v>
      </c>
      <c r="J69" s="120">
        <f t="shared" si="26"/>
        <v>146.41000000000008</v>
      </c>
      <c r="K69" s="120">
        <f t="shared" si="26"/>
        <v>161.0510000000001</v>
      </c>
      <c r="L69" s="120">
        <f t="shared" si="26"/>
        <v>177.15610000000012</v>
      </c>
      <c r="M69" s="120">
        <f t="shared" si="26"/>
        <v>194.87171000000015</v>
      </c>
      <c r="N69" s="120">
        <f t="shared" si="26"/>
        <v>214.3588810000002</v>
      </c>
      <c r="O69" s="120">
        <f t="shared" si="26"/>
        <v>235.79476910000022</v>
      </c>
      <c r="P69" s="124">
        <f t="shared" si="26"/>
        <v>259.37424601000026</v>
      </c>
      <c r="Q69" s="50"/>
      <c r="R69" s="50"/>
      <c r="S69" s="50"/>
      <c r="T69" s="50"/>
      <c r="U69" s="50"/>
      <c r="V69" s="50"/>
      <c r="W69" s="50"/>
      <c r="X69" s="50"/>
      <c r="Y69" s="50"/>
      <c r="Z69" s="50"/>
    </row>
    <row r="70" spans="1:26" ht="15.75" customHeight="1" x14ac:dyDescent="0.35">
      <c r="A70" s="50"/>
      <c r="B70" s="53" t="s">
        <v>172</v>
      </c>
      <c r="C70" s="54" t="s">
        <v>94</v>
      </c>
      <c r="D70" s="120">
        <f t="shared" ref="D70:F70" si="27">D18</f>
        <v>100</v>
      </c>
      <c r="E70" s="120">
        <f t="shared" si="27"/>
        <v>100</v>
      </c>
      <c r="F70" s="120">
        <f t="shared" si="27"/>
        <v>100</v>
      </c>
      <c r="G70" s="120">
        <f t="shared" ref="G70:P70" si="28">F70*(1+$D$28)</f>
        <v>110.00000000000001</v>
      </c>
      <c r="H70" s="120">
        <f t="shared" si="28"/>
        <v>121.00000000000003</v>
      </c>
      <c r="I70" s="120">
        <f t="shared" si="28"/>
        <v>133.10000000000005</v>
      </c>
      <c r="J70" s="120">
        <f t="shared" si="28"/>
        <v>146.41000000000008</v>
      </c>
      <c r="K70" s="120">
        <f t="shared" si="28"/>
        <v>161.0510000000001</v>
      </c>
      <c r="L70" s="120">
        <f t="shared" si="28"/>
        <v>177.15610000000012</v>
      </c>
      <c r="M70" s="120">
        <f t="shared" si="28"/>
        <v>194.87171000000015</v>
      </c>
      <c r="N70" s="120">
        <f t="shared" si="28"/>
        <v>214.3588810000002</v>
      </c>
      <c r="O70" s="120">
        <f t="shared" si="28"/>
        <v>235.79476910000022</v>
      </c>
      <c r="P70" s="124">
        <f t="shared" si="28"/>
        <v>259.37424601000026</v>
      </c>
      <c r="Q70" s="50"/>
      <c r="R70" s="50"/>
      <c r="S70" s="50"/>
      <c r="T70" s="50"/>
      <c r="U70" s="50"/>
      <c r="V70" s="50"/>
      <c r="W70" s="50"/>
      <c r="X70" s="50"/>
      <c r="Y70" s="50"/>
      <c r="Z70" s="50"/>
    </row>
    <row r="71" spans="1:26" ht="15.75" customHeight="1" x14ac:dyDescent="0.35">
      <c r="A71" s="50"/>
      <c r="B71" s="53" t="s">
        <v>173</v>
      </c>
      <c r="C71" s="54" t="s">
        <v>94</v>
      </c>
      <c r="D71" s="120">
        <f t="shared" ref="D71:F71" si="29">D19</f>
        <v>100</v>
      </c>
      <c r="E71" s="120">
        <f t="shared" si="29"/>
        <v>100</v>
      </c>
      <c r="F71" s="120">
        <f t="shared" si="29"/>
        <v>100</v>
      </c>
      <c r="G71" s="120">
        <f t="shared" ref="G71:P71" si="30">F71*(1+$D$28)</f>
        <v>110.00000000000001</v>
      </c>
      <c r="H71" s="120">
        <f t="shared" si="30"/>
        <v>121.00000000000003</v>
      </c>
      <c r="I71" s="120">
        <f t="shared" si="30"/>
        <v>133.10000000000005</v>
      </c>
      <c r="J71" s="120">
        <f t="shared" si="30"/>
        <v>146.41000000000008</v>
      </c>
      <c r="K71" s="120">
        <f t="shared" si="30"/>
        <v>161.0510000000001</v>
      </c>
      <c r="L71" s="120">
        <f t="shared" si="30"/>
        <v>177.15610000000012</v>
      </c>
      <c r="M71" s="120">
        <f t="shared" si="30"/>
        <v>194.87171000000015</v>
      </c>
      <c r="N71" s="120">
        <f t="shared" si="30"/>
        <v>214.3588810000002</v>
      </c>
      <c r="O71" s="120">
        <f t="shared" si="30"/>
        <v>235.79476910000022</v>
      </c>
      <c r="P71" s="124">
        <f t="shared" si="30"/>
        <v>259.37424601000026</v>
      </c>
      <c r="Q71" s="50"/>
      <c r="R71" s="50"/>
      <c r="S71" s="50"/>
      <c r="T71" s="50"/>
      <c r="U71" s="50"/>
      <c r="V71" s="50"/>
      <c r="W71" s="50"/>
      <c r="X71" s="50"/>
      <c r="Y71" s="50"/>
      <c r="Z71" s="50"/>
    </row>
    <row r="72" spans="1:26" ht="15.75" customHeight="1" x14ac:dyDescent="0.35">
      <c r="A72" s="50"/>
      <c r="B72" s="53" t="s">
        <v>174</v>
      </c>
      <c r="C72" s="54" t="s">
        <v>94</v>
      </c>
      <c r="D72" s="120">
        <f t="shared" ref="D72:F72" si="31">D20</f>
        <v>100</v>
      </c>
      <c r="E72" s="120">
        <f t="shared" si="31"/>
        <v>100</v>
      </c>
      <c r="F72" s="120">
        <f t="shared" si="31"/>
        <v>100</v>
      </c>
      <c r="G72" s="120">
        <f t="shared" ref="G72:P72" si="32">F72*(1+$D$28)</f>
        <v>110.00000000000001</v>
      </c>
      <c r="H72" s="120">
        <f t="shared" si="32"/>
        <v>121.00000000000003</v>
      </c>
      <c r="I72" s="120">
        <f t="shared" si="32"/>
        <v>133.10000000000005</v>
      </c>
      <c r="J72" s="120">
        <f t="shared" si="32"/>
        <v>146.41000000000008</v>
      </c>
      <c r="K72" s="120">
        <f t="shared" si="32"/>
        <v>161.0510000000001</v>
      </c>
      <c r="L72" s="120">
        <f t="shared" si="32"/>
        <v>177.15610000000012</v>
      </c>
      <c r="M72" s="120">
        <f t="shared" si="32"/>
        <v>194.87171000000015</v>
      </c>
      <c r="N72" s="120">
        <f t="shared" si="32"/>
        <v>214.3588810000002</v>
      </c>
      <c r="O72" s="120">
        <f t="shared" si="32"/>
        <v>235.79476910000022</v>
      </c>
      <c r="P72" s="124">
        <f t="shared" si="32"/>
        <v>259.37424601000026</v>
      </c>
      <c r="Q72" s="50"/>
      <c r="R72" s="50"/>
      <c r="S72" s="50"/>
      <c r="T72" s="50"/>
      <c r="U72" s="50"/>
      <c r="V72" s="50"/>
      <c r="W72" s="50"/>
      <c r="X72" s="50"/>
      <c r="Y72" s="50"/>
      <c r="Z72" s="50"/>
    </row>
    <row r="73" spans="1:26" ht="15.75" customHeight="1" x14ac:dyDescent="0.35">
      <c r="A73" s="50"/>
      <c r="B73" s="53" t="s">
        <v>175</v>
      </c>
      <c r="C73" s="54" t="s">
        <v>94</v>
      </c>
      <c r="D73" s="120">
        <f t="shared" ref="D73:F73" si="33">D21</f>
        <v>100</v>
      </c>
      <c r="E73" s="120">
        <f t="shared" si="33"/>
        <v>100</v>
      </c>
      <c r="F73" s="120">
        <f t="shared" si="33"/>
        <v>100</v>
      </c>
      <c r="G73" s="120">
        <f t="shared" ref="G73:P73" si="34">F73*(1+$D$28)</f>
        <v>110.00000000000001</v>
      </c>
      <c r="H73" s="120">
        <f t="shared" si="34"/>
        <v>121.00000000000003</v>
      </c>
      <c r="I73" s="120">
        <f t="shared" si="34"/>
        <v>133.10000000000005</v>
      </c>
      <c r="J73" s="120">
        <f t="shared" si="34"/>
        <v>146.41000000000008</v>
      </c>
      <c r="K73" s="120">
        <f t="shared" si="34"/>
        <v>161.0510000000001</v>
      </c>
      <c r="L73" s="120">
        <f t="shared" si="34"/>
        <v>177.15610000000012</v>
      </c>
      <c r="M73" s="120">
        <f t="shared" si="34"/>
        <v>194.87171000000015</v>
      </c>
      <c r="N73" s="120">
        <f t="shared" si="34"/>
        <v>214.3588810000002</v>
      </c>
      <c r="O73" s="120">
        <f t="shared" si="34"/>
        <v>235.79476910000022</v>
      </c>
      <c r="P73" s="124">
        <f t="shared" si="34"/>
        <v>259.37424601000026</v>
      </c>
      <c r="Q73" s="50"/>
      <c r="R73" s="50"/>
      <c r="S73" s="50"/>
      <c r="T73" s="50"/>
      <c r="U73" s="50"/>
      <c r="V73" s="50"/>
      <c r="W73" s="50"/>
      <c r="X73" s="50"/>
      <c r="Y73" s="50"/>
      <c r="Z73" s="50"/>
    </row>
    <row r="74" spans="1:26" ht="15.75" customHeight="1" x14ac:dyDescent="0.35">
      <c r="A74" s="50"/>
      <c r="B74" s="53" t="s">
        <v>176</v>
      </c>
      <c r="C74" s="54" t="s">
        <v>94</v>
      </c>
      <c r="D74" s="120">
        <f t="shared" ref="D74:F74" si="35">D22</f>
        <v>100</v>
      </c>
      <c r="E74" s="120">
        <f t="shared" si="35"/>
        <v>100</v>
      </c>
      <c r="F74" s="120">
        <f t="shared" si="35"/>
        <v>100</v>
      </c>
      <c r="G74" s="120">
        <f t="shared" ref="G74:P74" si="36">F74*(1+$D$28)</f>
        <v>110.00000000000001</v>
      </c>
      <c r="H74" s="120">
        <f t="shared" si="36"/>
        <v>121.00000000000003</v>
      </c>
      <c r="I74" s="120">
        <f t="shared" si="36"/>
        <v>133.10000000000005</v>
      </c>
      <c r="J74" s="120">
        <f t="shared" si="36"/>
        <v>146.41000000000008</v>
      </c>
      <c r="K74" s="120">
        <f t="shared" si="36"/>
        <v>161.0510000000001</v>
      </c>
      <c r="L74" s="120">
        <f t="shared" si="36"/>
        <v>177.15610000000012</v>
      </c>
      <c r="M74" s="120">
        <f t="shared" si="36"/>
        <v>194.87171000000015</v>
      </c>
      <c r="N74" s="120">
        <f t="shared" si="36"/>
        <v>214.3588810000002</v>
      </c>
      <c r="O74" s="120">
        <f t="shared" si="36"/>
        <v>235.79476910000022</v>
      </c>
      <c r="P74" s="124">
        <f t="shared" si="36"/>
        <v>259.37424601000026</v>
      </c>
      <c r="Q74" s="50"/>
      <c r="R74" s="50"/>
      <c r="S74" s="50"/>
      <c r="T74" s="50"/>
      <c r="U74" s="50"/>
      <c r="V74" s="50"/>
      <c r="W74" s="50"/>
      <c r="X74" s="50"/>
      <c r="Y74" s="50"/>
      <c r="Z74" s="50"/>
    </row>
    <row r="75" spans="1:26" ht="15.75" customHeight="1" x14ac:dyDescent="0.35">
      <c r="A75" s="237"/>
      <c r="B75" s="238" t="s">
        <v>65</v>
      </c>
      <c r="C75" s="239"/>
      <c r="D75" s="240">
        <f t="shared" ref="D75:P75" si="37">SUM(D64:D74)</f>
        <v>1100</v>
      </c>
      <c r="E75" s="240">
        <f t="shared" si="37"/>
        <v>1100</v>
      </c>
      <c r="F75" s="240">
        <f t="shared" si="37"/>
        <v>1100</v>
      </c>
      <c r="G75" s="240">
        <f t="shared" si="37"/>
        <v>1210.0000000000002</v>
      </c>
      <c r="H75" s="240">
        <f t="shared" si="37"/>
        <v>1331.0000000000002</v>
      </c>
      <c r="I75" s="240">
        <f t="shared" si="37"/>
        <v>1464.1000000000008</v>
      </c>
      <c r="J75" s="240">
        <f t="shared" si="37"/>
        <v>1610.5100000000009</v>
      </c>
      <c r="K75" s="240">
        <f t="shared" si="37"/>
        <v>1771.5610000000015</v>
      </c>
      <c r="L75" s="240">
        <f t="shared" si="37"/>
        <v>1948.7171000000014</v>
      </c>
      <c r="M75" s="240">
        <f t="shared" si="37"/>
        <v>2143.5888100000016</v>
      </c>
      <c r="N75" s="240">
        <f t="shared" si="37"/>
        <v>2357.9476910000017</v>
      </c>
      <c r="O75" s="240">
        <f t="shared" si="37"/>
        <v>2593.7424601000025</v>
      </c>
      <c r="P75" s="241">
        <f t="shared" si="37"/>
        <v>2853.1167061100027</v>
      </c>
      <c r="Q75" s="237"/>
      <c r="R75" s="237"/>
      <c r="S75" s="237"/>
      <c r="T75" s="237"/>
      <c r="U75" s="237"/>
      <c r="V75" s="237"/>
      <c r="W75" s="237"/>
      <c r="X75" s="237"/>
      <c r="Y75" s="237"/>
      <c r="Z75" s="237"/>
    </row>
    <row r="76" spans="1:26" ht="15.75" customHeight="1" x14ac:dyDescent="0.35">
      <c r="A76" s="50"/>
      <c r="B76" s="46" t="s">
        <v>278</v>
      </c>
      <c r="C76" s="47"/>
      <c r="D76" s="120"/>
      <c r="E76" s="120"/>
      <c r="F76" s="120"/>
      <c r="G76" s="120"/>
      <c r="H76" s="120"/>
      <c r="I76" s="120"/>
      <c r="J76" s="120"/>
      <c r="K76" s="120"/>
      <c r="L76" s="120"/>
      <c r="M76" s="120"/>
      <c r="N76" s="50"/>
      <c r="O76" s="50"/>
      <c r="P76" s="115"/>
      <c r="Q76" s="50"/>
      <c r="R76" s="50"/>
      <c r="S76" s="50"/>
      <c r="T76" s="50"/>
      <c r="U76" s="50"/>
      <c r="V76" s="50"/>
      <c r="W76" s="50"/>
      <c r="X76" s="50"/>
      <c r="Y76" s="50"/>
      <c r="Z76" s="50"/>
    </row>
    <row r="77" spans="1:26" ht="15.75" customHeight="1" x14ac:dyDescent="0.35">
      <c r="A77" s="50"/>
      <c r="B77" s="53" t="s">
        <v>165</v>
      </c>
      <c r="C77" s="54" t="s">
        <v>94</v>
      </c>
      <c r="D77" s="120">
        <f t="shared" ref="D77:P77" si="38">D51*D64</f>
        <v>113.19999999999999</v>
      </c>
      <c r="E77" s="120">
        <f t="shared" si="38"/>
        <v>113.19999999999999</v>
      </c>
      <c r="F77" s="120">
        <f t="shared" si="38"/>
        <v>113.19999999999999</v>
      </c>
      <c r="G77" s="120">
        <f t="shared" si="38"/>
        <v>124.52000000000001</v>
      </c>
      <c r="H77" s="120">
        <f t="shared" si="38"/>
        <v>136.97200000000001</v>
      </c>
      <c r="I77" s="120">
        <f t="shared" si="38"/>
        <v>150.66920000000005</v>
      </c>
      <c r="J77" s="120">
        <f t="shared" si="38"/>
        <v>165.73612000000008</v>
      </c>
      <c r="K77" s="120">
        <f t="shared" si="38"/>
        <v>182.30973200000011</v>
      </c>
      <c r="L77" s="120">
        <f t="shared" si="38"/>
        <v>200.54070520000013</v>
      </c>
      <c r="M77" s="120">
        <f t="shared" si="38"/>
        <v>220.59477572000014</v>
      </c>
      <c r="N77" s="120">
        <f t="shared" si="38"/>
        <v>242.65425329200019</v>
      </c>
      <c r="O77" s="120">
        <f t="shared" si="38"/>
        <v>266.91967862120021</v>
      </c>
      <c r="P77" s="124">
        <f t="shared" si="38"/>
        <v>293.61164648332027</v>
      </c>
      <c r="Q77" s="50"/>
      <c r="R77" s="50"/>
      <c r="S77" s="50"/>
      <c r="T77" s="50"/>
      <c r="U77" s="50"/>
      <c r="V77" s="50"/>
      <c r="W77" s="50"/>
      <c r="X77" s="50"/>
      <c r="Y77" s="50"/>
      <c r="Z77" s="50"/>
    </row>
    <row r="78" spans="1:26" ht="15.75" customHeight="1" x14ac:dyDescent="0.35">
      <c r="A78" s="50"/>
      <c r="B78" s="53" t="s">
        <v>166</v>
      </c>
      <c r="C78" s="54" t="s">
        <v>94</v>
      </c>
      <c r="D78" s="120">
        <f t="shared" ref="D78:P78" si="39">D52*D65</f>
        <v>113.19999999999999</v>
      </c>
      <c r="E78" s="120">
        <f t="shared" si="39"/>
        <v>113.19999999999999</v>
      </c>
      <c r="F78" s="120">
        <f t="shared" si="39"/>
        <v>113.19999999999999</v>
      </c>
      <c r="G78" s="120">
        <f t="shared" si="39"/>
        <v>124.52000000000001</v>
      </c>
      <c r="H78" s="120">
        <f t="shared" si="39"/>
        <v>136.97200000000001</v>
      </c>
      <c r="I78" s="120">
        <f t="shared" si="39"/>
        <v>150.66920000000005</v>
      </c>
      <c r="J78" s="120">
        <f t="shared" si="39"/>
        <v>165.73612000000008</v>
      </c>
      <c r="K78" s="120">
        <f t="shared" si="39"/>
        <v>182.30973200000011</v>
      </c>
      <c r="L78" s="120">
        <f t="shared" si="39"/>
        <v>200.54070520000013</v>
      </c>
      <c r="M78" s="120">
        <f t="shared" si="39"/>
        <v>220.59477572000014</v>
      </c>
      <c r="N78" s="120">
        <f t="shared" si="39"/>
        <v>242.65425329200019</v>
      </c>
      <c r="O78" s="120">
        <f t="shared" si="39"/>
        <v>266.91967862120021</v>
      </c>
      <c r="P78" s="124">
        <f t="shared" si="39"/>
        <v>293.61164648332027</v>
      </c>
      <c r="Q78" s="50"/>
      <c r="R78" s="50"/>
      <c r="S78" s="50"/>
      <c r="T78" s="50"/>
      <c r="U78" s="50"/>
      <c r="V78" s="50"/>
      <c r="W78" s="50"/>
      <c r="X78" s="50"/>
      <c r="Y78" s="50"/>
      <c r="Z78" s="50"/>
    </row>
    <row r="79" spans="1:26" ht="15.75" customHeight="1" x14ac:dyDescent="0.35">
      <c r="A79" s="50"/>
      <c r="B79" s="53" t="s">
        <v>167</v>
      </c>
      <c r="C79" s="54" t="s">
        <v>94</v>
      </c>
      <c r="D79" s="120">
        <f t="shared" ref="D79:P79" si="40">D53*D66</f>
        <v>113.19999999999999</v>
      </c>
      <c r="E79" s="120">
        <f t="shared" si="40"/>
        <v>113.19999999999999</v>
      </c>
      <c r="F79" s="120">
        <f t="shared" si="40"/>
        <v>113.19999999999999</v>
      </c>
      <c r="G79" s="120">
        <f t="shared" si="40"/>
        <v>124.52000000000001</v>
      </c>
      <c r="H79" s="120">
        <f t="shared" si="40"/>
        <v>136.97200000000001</v>
      </c>
      <c r="I79" s="120">
        <f t="shared" si="40"/>
        <v>150.66920000000005</v>
      </c>
      <c r="J79" s="120">
        <f t="shared" si="40"/>
        <v>165.73612000000008</v>
      </c>
      <c r="K79" s="120">
        <f t="shared" si="40"/>
        <v>182.30973200000011</v>
      </c>
      <c r="L79" s="120">
        <f t="shared" si="40"/>
        <v>200.54070520000013</v>
      </c>
      <c r="M79" s="120">
        <f t="shared" si="40"/>
        <v>220.59477572000014</v>
      </c>
      <c r="N79" s="120">
        <f t="shared" si="40"/>
        <v>242.65425329200019</v>
      </c>
      <c r="O79" s="120">
        <f t="shared" si="40"/>
        <v>266.91967862120021</v>
      </c>
      <c r="P79" s="124">
        <f t="shared" si="40"/>
        <v>293.61164648332027</v>
      </c>
      <c r="Q79" s="50"/>
      <c r="R79" s="50"/>
      <c r="S79" s="50"/>
      <c r="T79" s="50"/>
      <c r="U79" s="50"/>
      <c r="V79" s="50"/>
      <c r="W79" s="50"/>
      <c r="X79" s="50"/>
      <c r="Y79" s="50"/>
      <c r="Z79" s="50"/>
    </row>
    <row r="80" spans="1:26" ht="15.75" customHeight="1" x14ac:dyDescent="0.35">
      <c r="A80" s="50"/>
      <c r="B80" s="53" t="s">
        <v>169</v>
      </c>
      <c r="C80" s="54" t="s">
        <v>94</v>
      </c>
      <c r="D80" s="120">
        <f t="shared" ref="D80:P80" si="41">D54*D67</f>
        <v>113.19999999999999</v>
      </c>
      <c r="E80" s="120">
        <f t="shared" si="41"/>
        <v>113.19999999999999</v>
      </c>
      <c r="F80" s="120">
        <f t="shared" si="41"/>
        <v>113.19999999999999</v>
      </c>
      <c r="G80" s="120">
        <f t="shared" si="41"/>
        <v>124.52000000000001</v>
      </c>
      <c r="H80" s="120">
        <f t="shared" si="41"/>
        <v>136.97200000000001</v>
      </c>
      <c r="I80" s="120">
        <f t="shared" si="41"/>
        <v>150.66920000000005</v>
      </c>
      <c r="J80" s="120">
        <f t="shared" si="41"/>
        <v>165.73612000000008</v>
      </c>
      <c r="K80" s="120">
        <f t="shared" si="41"/>
        <v>182.30973200000011</v>
      </c>
      <c r="L80" s="120">
        <f t="shared" si="41"/>
        <v>200.54070520000013</v>
      </c>
      <c r="M80" s="120">
        <f t="shared" si="41"/>
        <v>220.59477572000014</v>
      </c>
      <c r="N80" s="120">
        <f t="shared" si="41"/>
        <v>242.65425329200019</v>
      </c>
      <c r="O80" s="120">
        <f t="shared" si="41"/>
        <v>266.91967862120021</v>
      </c>
      <c r="P80" s="124">
        <f t="shared" si="41"/>
        <v>293.61164648332027</v>
      </c>
      <c r="Q80" s="50"/>
      <c r="R80" s="50"/>
      <c r="S80" s="50"/>
      <c r="T80" s="50"/>
      <c r="U80" s="50"/>
      <c r="V80" s="50"/>
      <c r="W80" s="50"/>
      <c r="X80" s="50"/>
      <c r="Y80" s="50"/>
      <c r="Z80" s="50"/>
    </row>
    <row r="81" spans="1:26" ht="15.75" customHeight="1" x14ac:dyDescent="0.35">
      <c r="A81" s="50"/>
      <c r="B81" s="53" t="s">
        <v>170</v>
      </c>
      <c r="C81" s="54" t="s">
        <v>94</v>
      </c>
      <c r="D81" s="120">
        <f t="shared" ref="D81:P81" si="42">D55*D68</f>
        <v>113.19999999999999</v>
      </c>
      <c r="E81" s="120">
        <f t="shared" si="42"/>
        <v>113.19999999999999</v>
      </c>
      <c r="F81" s="120">
        <f t="shared" si="42"/>
        <v>113.19999999999999</v>
      </c>
      <c r="G81" s="120">
        <f t="shared" si="42"/>
        <v>124.52000000000001</v>
      </c>
      <c r="H81" s="120">
        <f t="shared" si="42"/>
        <v>136.97200000000001</v>
      </c>
      <c r="I81" s="120">
        <f t="shared" si="42"/>
        <v>150.66920000000005</v>
      </c>
      <c r="J81" s="120">
        <f t="shared" si="42"/>
        <v>165.73612000000008</v>
      </c>
      <c r="K81" s="120">
        <f t="shared" si="42"/>
        <v>182.30973200000011</v>
      </c>
      <c r="L81" s="120">
        <f t="shared" si="42"/>
        <v>200.54070520000013</v>
      </c>
      <c r="M81" s="120">
        <f t="shared" si="42"/>
        <v>220.59477572000014</v>
      </c>
      <c r="N81" s="120">
        <f t="shared" si="42"/>
        <v>242.65425329200019</v>
      </c>
      <c r="O81" s="120">
        <f t="shared" si="42"/>
        <v>266.91967862120021</v>
      </c>
      <c r="P81" s="124">
        <f t="shared" si="42"/>
        <v>293.61164648332027</v>
      </c>
      <c r="Q81" s="50"/>
      <c r="R81" s="50"/>
      <c r="S81" s="50"/>
      <c r="T81" s="50"/>
      <c r="U81" s="50"/>
      <c r="V81" s="50"/>
      <c r="W81" s="50"/>
      <c r="X81" s="50"/>
      <c r="Y81" s="50"/>
      <c r="Z81" s="50"/>
    </row>
    <row r="82" spans="1:26" ht="15.75" customHeight="1" x14ac:dyDescent="0.35">
      <c r="A82" s="50"/>
      <c r="B82" s="53" t="s">
        <v>171</v>
      </c>
      <c r="C82" s="54" t="s">
        <v>94</v>
      </c>
      <c r="D82" s="120">
        <f t="shared" ref="D82:P82" si="43">D56*D69</f>
        <v>113.19999999999999</v>
      </c>
      <c r="E82" s="120">
        <f t="shared" si="43"/>
        <v>113.19999999999999</v>
      </c>
      <c r="F82" s="120">
        <f t="shared" si="43"/>
        <v>113.19999999999999</v>
      </c>
      <c r="G82" s="120">
        <f t="shared" si="43"/>
        <v>124.52000000000001</v>
      </c>
      <c r="H82" s="120">
        <f t="shared" si="43"/>
        <v>136.97200000000001</v>
      </c>
      <c r="I82" s="120">
        <f t="shared" si="43"/>
        <v>150.66920000000005</v>
      </c>
      <c r="J82" s="120">
        <f t="shared" si="43"/>
        <v>165.73612000000008</v>
      </c>
      <c r="K82" s="120">
        <f t="shared" si="43"/>
        <v>182.30973200000011</v>
      </c>
      <c r="L82" s="120">
        <f t="shared" si="43"/>
        <v>200.54070520000013</v>
      </c>
      <c r="M82" s="120">
        <f t="shared" si="43"/>
        <v>220.59477572000014</v>
      </c>
      <c r="N82" s="120">
        <f t="shared" si="43"/>
        <v>242.65425329200019</v>
      </c>
      <c r="O82" s="120">
        <f t="shared" si="43"/>
        <v>266.91967862120021</v>
      </c>
      <c r="P82" s="124">
        <f t="shared" si="43"/>
        <v>293.61164648332027</v>
      </c>
      <c r="Q82" s="50"/>
      <c r="R82" s="50"/>
      <c r="S82" s="50"/>
      <c r="T82" s="50"/>
      <c r="U82" s="50"/>
      <c r="V82" s="50"/>
      <c r="W82" s="50"/>
      <c r="X82" s="50"/>
      <c r="Y82" s="50"/>
      <c r="Z82" s="50"/>
    </row>
    <row r="83" spans="1:26" ht="15.75" customHeight="1" x14ac:dyDescent="0.35">
      <c r="A83" s="50"/>
      <c r="B83" s="53" t="s">
        <v>172</v>
      </c>
      <c r="C83" s="54" t="s">
        <v>94</v>
      </c>
      <c r="D83" s="120">
        <f t="shared" ref="D83:P83" si="44">D57*D70</f>
        <v>113.19999999999999</v>
      </c>
      <c r="E83" s="120">
        <f t="shared" si="44"/>
        <v>113.19999999999999</v>
      </c>
      <c r="F83" s="120">
        <f t="shared" si="44"/>
        <v>113.19999999999999</v>
      </c>
      <c r="G83" s="120">
        <f t="shared" si="44"/>
        <v>124.52000000000001</v>
      </c>
      <c r="H83" s="120">
        <f t="shared" si="44"/>
        <v>136.97200000000001</v>
      </c>
      <c r="I83" s="120">
        <f t="shared" si="44"/>
        <v>150.66920000000005</v>
      </c>
      <c r="J83" s="120">
        <f t="shared" si="44"/>
        <v>165.73612000000008</v>
      </c>
      <c r="K83" s="120">
        <f t="shared" si="44"/>
        <v>182.30973200000011</v>
      </c>
      <c r="L83" s="120">
        <f t="shared" si="44"/>
        <v>200.54070520000013</v>
      </c>
      <c r="M83" s="120">
        <f t="shared" si="44"/>
        <v>220.59477572000014</v>
      </c>
      <c r="N83" s="120">
        <f t="shared" si="44"/>
        <v>242.65425329200019</v>
      </c>
      <c r="O83" s="120">
        <f t="shared" si="44"/>
        <v>266.91967862120021</v>
      </c>
      <c r="P83" s="124">
        <f t="shared" si="44"/>
        <v>293.61164648332027</v>
      </c>
      <c r="Q83" s="50"/>
      <c r="R83" s="50"/>
      <c r="S83" s="50"/>
      <c r="T83" s="50"/>
      <c r="U83" s="50"/>
      <c r="V83" s="50"/>
      <c r="W83" s="50"/>
      <c r="X83" s="50"/>
      <c r="Y83" s="50"/>
      <c r="Z83" s="50"/>
    </row>
    <row r="84" spans="1:26" ht="15.75" customHeight="1" x14ac:dyDescent="0.35">
      <c r="A84" s="50"/>
      <c r="B84" s="53" t="s">
        <v>173</v>
      </c>
      <c r="C84" s="54" t="s">
        <v>94</v>
      </c>
      <c r="D84" s="120">
        <f t="shared" ref="D84:P84" si="45">D58*D71</f>
        <v>113.19999999999999</v>
      </c>
      <c r="E84" s="120">
        <f t="shared" si="45"/>
        <v>113.19999999999999</v>
      </c>
      <c r="F84" s="120">
        <f t="shared" si="45"/>
        <v>113.19999999999999</v>
      </c>
      <c r="G84" s="120">
        <f t="shared" si="45"/>
        <v>124.52000000000001</v>
      </c>
      <c r="H84" s="120">
        <f t="shared" si="45"/>
        <v>136.97200000000001</v>
      </c>
      <c r="I84" s="120">
        <f t="shared" si="45"/>
        <v>150.66920000000005</v>
      </c>
      <c r="J84" s="120">
        <f t="shared" si="45"/>
        <v>165.73612000000008</v>
      </c>
      <c r="K84" s="120">
        <f t="shared" si="45"/>
        <v>182.30973200000011</v>
      </c>
      <c r="L84" s="120">
        <f t="shared" si="45"/>
        <v>200.54070520000013</v>
      </c>
      <c r="M84" s="120">
        <f t="shared" si="45"/>
        <v>220.59477572000014</v>
      </c>
      <c r="N84" s="120">
        <f t="shared" si="45"/>
        <v>242.65425329200019</v>
      </c>
      <c r="O84" s="120">
        <f t="shared" si="45"/>
        <v>266.91967862120021</v>
      </c>
      <c r="P84" s="124">
        <f t="shared" si="45"/>
        <v>293.61164648332027</v>
      </c>
      <c r="Q84" s="50"/>
      <c r="R84" s="50"/>
      <c r="S84" s="50"/>
      <c r="T84" s="50"/>
      <c r="U84" s="50"/>
      <c r="V84" s="50"/>
      <c r="W84" s="50"/>
      <c r="X84" s="50"/>
      <c r="Y84" s="50"/>
      <c r="Z84" s="50"/>
    </row>
    <row r="85" spans="1:26" ht="15.75" customHeight="1" x14ac:dyDescent="0.35">
      <c r="A85" s="50"/>
      <c r="B85" s="53" t="s">
        <v>174</v>
      </c>
      <c r="C85" s="54" t="s">
        <v>94</v>
      </c>
      <c r="D85" s="120">
        <f t="shared" ref="D85:P85" si="46">D59*D72</f>
        <v>113.19999999999999</v>
      </c>
      <c r="E85" s="120">
        <f t="shared" si="46"/>
        <v>113.19999999999999</v>
      </c>
      <c r="F85" s="120">
        <f t="shared" si="46"/>
        <v>113.19999999999999</v>
      </c>
      <c r="G85" s="120">
        <f t="shared" si="46"/>
        <v>124.52000000000001</v>
      </c>
      <c r="H85" s="120">
        <f t="shared" si="46"/>
        <v>136.97200000000001</v>
      </c>
      <c r="I85" s="120">
        <f t="shared" si="46"/>
        <v>150.66920000000005</v>
      </c>
      <c r="J85" s="120">
        <f t="shared" si="46"/>
        <v>165.73612000000008</v>
      </c>
      <c r="K85" s="120">
        <f t="shared" si="46"/>
        <v>182.30973200000011</v>
      </c>
      <c r="L85" s="120">
        <f t="shared" si="46"/>
        <v>200.54070520000013</v>
      </c>
      <c r="M85" s="120">
        <f t="shared" si="46"/>
        <v>220.59477572000014</v>
      </c>
      <c r="N85" s="120">
        <f t="shared" si="46"/>
        <v>242.65425329200019</v>
      </c>
      <c r="O85" s="120">
        <f t="shared" si="46"/>
        <v>266.91967862120021</v>
      </c>
      <c r="P85" s="124">
        <f t="shared" si="46"/>
        <v>293.61164648332027</v>
      </c>
      <c r="Q85" s="50"/>
      <c r="R85" s="50"/>
      <c r="S85" s="50"/>
      <c r="T85" s="50"/>
      <c r="U85" s="50"/>
      <c r="V85" s="50"/>
      <c r="W85" s="50"/>
      <c r="X85" s="50"/>
      <c r="Y85" s="50"/>
      <c r="Z85" s="50"/>
    </row>
    <row r="86" spans="1:26" ht="15.75" customHeight="1" x14ac:dyDescent="0.35">
      <c r="A86" s="50"/>
      <c r="B86" s="53" t="s">
        <v>175</v>
      </c>
      <c r="C86" s="54" t="s">
        <v>94</v>
      </c>
      <c r="D86" s="120">
        <f t="shared" ref="D86:P86" si="47">D60*D73</f>
        <v>113.19999999999999</v>
      </c>
      <c r="E86" s="120">
        <f t="shared" si="47"/>
        <v>113.19999999999999</v>
      </c>
      <c r="F86" s="120">
        <f t="shared" si="47"/>
        <v>113.19999999999999</v>
      </c>
      <c r="G86" s="120">
        <f t="shared" si="47"/>
        <v>124.52000000000001</v>
      </c>
      <c r="H86" s="120">
        <f t="shared" si="47"/>
        <v>136.97200000000001</v>
      </c>
      <c r="I86" s="120">
        <f t="shared" si="47"/>
        <v>150.66920000000005</v>
      </c>
      <c r="J86" s="120">
        <f t="shared" si="47"/>
        <v>165.73612000000008</v>
      </c>
      <c r="K86" s="120">
        <f t="shared" si="47"/>
        <v>182.30973200000011</v>
      </c>
      <c r="L86" s="120">
        <f t="shared" si="47"/>
        <v>200.54070520000013</v>
      </c>
      <c r="M86" s="120">
        <f t="shared" si="47"/>
        <v>220.59477572000014</v>
      </c>
      <c r="N86" s="120">
        <f t="shared" si="47"/>
        <v>242.65425329200019</v>
      </c>
      <c r="O86" s="120">
        <f t="shared" si="47"/>
        <v>266.91967862120021</v>
      </c>
      <c r="P86" s="124">
        <f t="shared" si="47"/>
        <v>293.61164648332027</v>
      </c>
      <c r="Q86" s="50"/>
      <c r="R86" s="50"/>
      <c r="S86" s="50"/>
      <c r="T86" s="50"/>
      <c r="U86" s="50"/>
      <c r="V86" s="50"/>
      <c r="W86" s="50"/>
      <c r="X86" s="50"/>
      <c r="Y86" s="50"/>
      <c r="Z86" s="50"/>
    </row>
    <row r="87" spans="1:26" ht="15.75" customHeight="1" x14ac:dyDescent="0.35">
      <c r="A87" s="50"/>
      <c r="B87" s="53" t="s">
        <v>176</v>
      </c>
      <c r="C87" s="54" t="s">
        <v>94</v>
      </c>
      <c r="D87" s="120">
        <f t="shared" ref="D87:P87" si="48">D61*D74</f>
        <v>113.19999999999999</v>
      </c>
      <c r="E87" s="120">
        <f t="shared" si="48"/>
        <v>113.19999999999999</v>
      </c>
      <c r="F87" s="120">
        <f t="shared" si="48"/>
        <v>113.19999999999999</v>
      </c>
      <c r="G87" s="120">
        <f t="shared" si="48"/>
        <v>124.52000000000001</v>
      </c>
      <c r="H87" s="120">
        <f t="shared" si="48"/>
        <v>136.97200000000001</v>
      </c>
      <c r="I87" s="120">
        <f t="shared" si="48"/>
        <v>150.66920000000005</v>
      </c>
      <c r="J87" s="120">
        <f t="shared" si="48"/>
        <v>165.73612000000008</v>
      </c>
      <c r="K87" s="120">
        <f t="shared" si="48"/>
        <v>182.30973200000011</v>
      </c>
      <c r="L87" s="120">
        <f t="shared" si="48"/>
        <v>200.54070520000013</v>
      </c>
      <c r="M87" s="120">
        <f t="shared" si="48"/>
        <v>220.59477572000014</v>
      </c>
      <c r="N87" s="120">
        <f t="shared" si="48"/>
        <v>242.65425329200019</v>
      </c>
      <c r="O87" s="120">
        <f t="shared" si="48"/>
        <v>266.91967862120021</v>
      </c>
      <c r="P87" s="124">
        <f t="shared" si="48"/>
        <v>293.61164648332027</v>
      </c>
      <c r="Q87" s="50"/>
      <c r="R87" s="50"/>
      <c r="S87" s="50"/>
      <c r="T87" s="50"/>
      <c r="U87" s="50"/>
      <c r="V87" s="50"/>
      <c r="W87" s="50"/>
      <c r="X87" s="50"/>
      <c r="Y87" s="50"/>
      <c r="Z87" s="50"/>
    </row>
    <row r="88" spans="1:26" ht="15.75" customHeight="1" x14ac:dyDescent="0.35">
      <c r="A88" s="237"/>
      <c r="B88" s="238" t="s">
        <v>65</v>
      </c>
      <c r="C88" s="239"/>
      <c r="D88" s="240">
        <f t="shared" ref="D88:P88" si="49">SUM(D77:D87)</f>
        <v>1245.2000000000003</v>
      </c>
      <c r="E88" s="240">
        <f t="shared" si="49"/>
        <v>1245.2000000000003</v>
      </c>
      <c r="F88" s="240">
        <f t="shared" si="49"/>
        <v>1245.2000000000003</v>
      </c>
      <c r="G88" s="240">
        <f t="shared" si="49"/>
        <v>1369.72</v>
      </c>
      <c r="H88" s="240">
        <f t="shared" si="49"/>
        <v>1506.692</v>
      </c>
      <c r="I88" s="240">
        <f t="shared" si="49"/>
        <v>1657.3612000000005</v>
      </c>
      <c r="J88" s="240">
        <f t="shared" si="49"/>
        <v>1823.0973200000005</v>
      </c>
      <c r="K88" s="240">
        <f t="shared" si="49"/>
        <v>2005.4070520000016</v>
      </c>
      <c r="L88" s="240">
        <f t="shared" si="49"/>
        <v>2205.947757200001</v>
      </c>
      <c r="M88" s="240">
        <f t="shared" si="49"/>
        <v>2426.5425329200016</v>
      </c>
      <c r="N88" s="240">
        <f t="shared" si="49"/>
        <v>2669.1967862120023</v>
      </c>
      <c r="O88" s="240">
        <f t="shared" si="49"/>
        <v>2936.1164648332015</v>
      </c>
      <c r="P88" s="241">
        <f t="shared" si="49"/>
        <v>3229.7281113165232</v>
      </c>
      <c r="Q88" s="237"/>
      <c r="R88" s="237"/>
      <c r="S88" s="237"/>
      <c r="T88" s="237"/>
      <c r="U88" s="237"/>
      <c r="V88" s="237"/>
      <c r="W88" s="237"/>
      <c r="X88" s="237"/>
      <c r="Y88" s="237"/>
      <c r="Z88" s="237"/>
    </row>
    <row r="89" spans="1:26" ht="15.75" customHeight="1" x14ac:dyDescent="0.35">
      <c r="A89" s="50"/>
      <c r="B89" s="46" t="s">
        <v>280</v>
      </c>
      <c r="C89" s="194"/>
      <c r="D89" s="245"/>
      <c r="E89" s="245"/>
      <c r="F89" s="245"/>
      <c r="G89" s="245"/>
      <c r="H89" s="245"/>
      <c r="I89" s="246"/>
      <c r="J89" s="246"/>
      <c r="K89" s="246"/>
      <c r="L89" s="246"/>
      <c r="M89" s="246"/>
      <c r="N89" s="246"/>
      <c r="O89" s="246"/>
      <c r="P89" s="247"/>
      <c r="Q89" s="50"/>
      <c r="R89" s="50"/>
      <c r="S89" s="50"/>
      <c r="T89" s="50"/>
      <c r="U89" s="50"/>
      <c r="V89" s="50"/>
      <c r="W89" s="50"/>
      <c r="X89" s="50"/>
      <c r="Y89" s="50"/>
      <c r="Z89" s="50"/>
    </row>
    <row r="90" spans="1:26" ht="15.75" customHeight="1" x14ac:dyDescent="0.35">
      <c r="A90" s="50"/>
      <c r="B90" s="53" t="s">
        <v>165</v>
      </c>
      <c r="C90" s="54" t="s">
        <v>94</v>
      </c>
      <c r="D90" s="248">
        <f t="shared" ref="D90:P90" si="50">$D$25</f>
        <v>0.3</v>
      </c>
      <c r="E90" s="248">
        <f t="shared" si="50"/>
        <v>0.3</v>
      </c>
      <c r="F90" s="248">
        <f t="shared" si="50"/>
        <v>0.3</v>
      </c>
      <c r="G90" s="248">
        <f t="shared" si="50"/>
        <v>0.3</v>
      </c>
      <c r="H90" s="248">
        <f t="shared" si="50"/>
        <v>0.3</v>
      </c>
      <c r="I90" s="248">
        <f t="shared" si="50"/>
        <v>0.3</v>
      </c>
      <c r="J90" s="248">
        <f t="shared" si="50"/>
        <v>0.3</v>
      </c>
      <c r="K90" s="248">
        <f t="shared" si="50"/>
        <v>0.3</v>
      </c>
      <c r="L90" s="248">
        <f t="shared" si="50"/>
        <v>0.3</v>
      </c>
      <c r="M90" s="248">
        <f t="shared" si="50"/>
        <v>0.3</v>
      </c>
      <c r="N90" s="248">
        <f t="shared" si="50"/>
        <v>0.3</v>
      </c>
      <c r="O90" s="248">
        <f t="shared" si="50"/>
        <v>0.3</v>
      </c>
      <c r="P90" s="249">
        <f t="shared" si="50"/>
        <v>0.3</v>
      </c>
      <c r="Q90" s="50"/>
      <c r="R90" s="50"/>
      <c r="S90" s="50"/>
      <c r="T90" s="50"/>
      <c r="U90" s="50"/>
      <c r="V90" s="50"/>
      <c r="W90" s="50"/>
      <c r="X90" s="50"/>
      <c r="Y90" s="50"/>
      <c r="Z90" s="50"/>
    </row>
    <row r="91" spans="1:26" ht="15.75" customHeight="1" x14ac:dyDescent="0.35">
      <c r="A91" s="50"/>
      <c r="B91" s="53" t="s">
        <v>166</v>
      </c>
      <c r="C91" s="54" t="s">
        <v>94</v>
      </c>
      <c r="D91" s="248">
        <f t="shared" ref="D91:P91" si="51">$D$25</f>
        <v>0.3</v>
      </c>
      <c r="E91" s="248">
        <f t="shared" si="51"/>
        <v>0.3</v>
      </c>
      <c r="F91" s="248">
        <f t="shared" si="51"/>
        <v>0.3</v>
      </c>
      <c r="G91" s="248">
        <f t="shared" si="51"/>
        <v>0.3</v>
      </c>
      <c r="H91" s="248">
        <f t="shared" si="51"/>
        <v>0.3</v>
      </c>
      <c r="I91" s="248">
        <f t="shared" si="51"/>
        <v>0.3</v>
      </c>
      <c r="J91" s="248">
        <f t="shared" si="51"/>
        <v>0.3</v>
      </c>
      <c r="K91" s="248">
        <f t="shared" si="51"/>
        <v>0.3</v>
      </c>
      <c r="L91" s="248">
        <f t="shared" si="51"/>
        <v>0.3</v>
      </c>
      <c r="M91" s="248">
        <f t="shared" si="51"/>
        <v>0.3</v>
      </c>
      <c r="N91" s="248">
        <f t="shared" si="51"/>
        <v>0.3</v>
      </c>
      <c r="O91" s="248">
        <f t="shared" si="51"/>
        <v>0.3</v>
      </c>
      <c r="P91" s="249">
        <f t="shared" si="51"/>
        <v>0.3</v>
      </c>
      <c r="Q91" s="50"/>
      <c r="R91" s="50"/>
      <c r="S91" s="50"/>
      <c r="T91" s="50"/>
      <c r="U91" s="50"/>
      <c r="V91" s="50"/>
      <c r="W91" s="50"/>
      <c r="X91" s="50"/>
      <c r="Y91" s="50"/>
      <c r="Z91" s="50"/>
    </row>
    <row r="92" spans="1:26" ht="15.75" customHeight="1" x14ac:dyDescent="0.35">
      <c r="A92" s="50"/>
      <c r="B92" s="53" t="s">
        <v>167</v>
      </c>
      <c r="C92" s="54" t="s">
        <v>94</v>
      </c>
      <c r="D92" s="248">
        <f t="shared" ref="D92:P92" si="52">$D$25</f>
        <v>0.3</v>
      </c>
      <c r="E92" s="248">
        <f t="shared" si="52"/>
        <v>0.3</v>
      </c>
      <c r="F92" s="248">
        <f t="shared" si="52"/>
        <v>0.3</v>
      </c>
      <c r="G92" s="248">
        <f t="shared" si="52"/>
        <v>0.3</v>
      </c>
      <c r="H92" s="248">
        <f t="shared" si="52"/>
        <v>0.3</v>
      </c>
      <c r="I92" s="248">
        <f t="shared" si="52"/>
        <v>0.3</v>
      </c>
      <c r="J92" s="248">
        <f t="shared" si="52"/>
        <v>0.3</v>
      </c>
      <c r="K92" s="248">
        <f t="shared" si="52"/>
        <v>0.3</v>
      </c>
      <c r="L92" s="248">
        <f t="shared" si="52"/>
        <v>0.3</v>
      </c>
      <c r="M92" s="248">
        <f t="shared" si="52"/>
        <v>0.3</v>
      </c>
      <c r="N92" s="248">
        <f t="shared" si="52"/>
        <v>0.3</v>
      </c>
      <c r="O92" s="248">
        <f t="shared" si="52"/>
        <v>0.3</v>
      </c>
      <c r="P92" s="249">
        <f t="shared" si="52"/>
        <v>0.3</v>
      </c>
      <c r="Q92" s="50"/>
      <c r="R92" s="50"/>
      <c r="S92" s="50"/>
      <c r="T92" s="50"/>
      <c r="U92" s="50"/>
      <c r="V92" s="50"/>
      <c r="W92" s="50"/>
      <c r="X92" s="50"/>
      <c r="Y92" s="50"/>
      <c r="Z92" s="50"/>
    </row>
    <row r="93" spans="1:26" ht="15.75" customHeight="1" x14ac:dyDescent="0.35">
      <c r="A93" s="50"/>
      <c r="B93" s="53" t="s">
        <v>169</v>
      </c>
      <c r="C93" s="54" t="s">
        <v>94</v>
      </c>
      <c r="D93" s="248">
        <f t="shared" ref="D93:P93" si="53">$D$25</f>
        <v>0.3</v>
      </c>
      <c r="E93" s="248">
        <f t="shared" si="53"/>
        <v>0.3</v>
      </c>
      <c r="F93" s="248">
        <f t="shared" si="53"/>
        <v>0.3</v>
      </c>
      <c r="G93" s="248">
        <f t="shared" si="53"/>
        <v>0.3</v>
      </c>
      <c r="H93" s="248">
        <f t="shared" si="53"/>
        <v>0.3</v>
      </c>
      <c r="I93" s="248">
        <f t="shared" si="53"/>
        <v>0.3</v>
      </c>
      <c r="J93" s="248">
        <f t="shared" si="53"/>
        <v>0.3</v>
      </c>
      <c r="K93" s="248">
        <f t="shared" si="53"/>
        <v>0.3</v>
      </c>
      <c r="L93" s="248">
        <f t="shared" si="53"/>
        <v>0.3</v>
      </c>
      <c r="M93" s="248">
        <f t="shared" si="53"/>
        <v>0.3</v>
      </c>
      <c r="N93" s="248">
        <f t="shared" si="53"/>
        <v>0.3</v>
      </c>
      <c r="O93" s="248">
        <f t="shared" si="53"/>
        <v>0.3</v>
      </c>
      <c r="P93" s="249">
        <f t="shared" si="53"/>
        <v>0.3</v>
      </c>
      <c r="Q93" s="50"/>
      <c r="R93" s="50"/>
      <c r="S93" s="50"/>
      <c r="T93" s="50"/>
      <c r="U93" s="50"/>
      <c r="V93" s="50"/>
      <c r="W93" s="50"/>
      <c r="X93" s="50"/>
      <c r="Y93" s="50"/>
      <c r="Z93" s="50"/>
    </row>
    <row r="94" spans="1:26" ht="15.75" customHeight="1" x14ac:dyDescent="0.35">
      <c r="A94" s="50"/>
      <c r="B94" s="53" t="s">
        <v>170</v>
      </c>
      <c r="C94" s="54" t="s">
        <v>94</v>
      </c>
      <c r="D94" s="248">
        <f t="shared" ref="D94:P94" si="54">$D$25</f>
        <v>0.3</v>
      </c>
      <c r="E94" s="248">
        <f t="shared" si="54"/>
        <v>0.3</v>
      </c>
      <c r="F94" s="248">
        <f t="shared" si="54"/>
        <v>0.3</v>
      </c>
      <c r="G94" s="248">
        <f t="shared" si="54"/>
        <v>0.3</v>
      </c>
      <c r="H94" s="248">
        <f t="shared" si="54"/>
        <v>0.3</v>
      </c>
      <c r="I94" s="248">
        <f t="shared" si="54"/>
        <v>0.3</v>
      </c>
      <c r="J94" s="248">
        <f t="shared" si="54"/>
        <v>0.3</v>
      </c>
      <c r="K94" s="248">
        <f t="shared" si="54"/>
        <v>0.3</v>
      </c>
      <c r="L94" s="248">
        <f t="shared" si="54"/>
        <v>0.3</v>
      </c>
      <c r="M94" s="248">
        <f t="shared" si="54"/>
        <v>0.3</v>
      </c>
      <c r="N94" s="248">
        <f t="shared" si="54"/>
        <v>0.3</v>
      </c>
      <c r="O94" s="248">
        <f t="shared" si="54"/>
        <v>0.3</v>
      </c>
      <c r="P94" s="249">
        <f t="shared" si="54"/>
        <v>0.3</v>
      </c>
      <c r="Q94" s="50"/>
      <c r="R94" s="50"/>
      <c r="S94" s="50"/>
      <c r="T94" s="50"/>
      <c r="U94" s="50"/>
      <c r="V94" s="50"/>
      <c r="W94" s="50"/>
      <c r="X94" s="50"/>
      <c r="Y94" s="50"/>
      <c r="Z94" s="50"/>
    </row>
    <row r="95" spans="1:26" ht="15.75" customHeight="1" x14ac:dyDescent="0.35">
      <c r="A95" s="50"/>
      <c r="B95" s="53" t="s">
        <v>171</v>
      </c>
      <c r="C95" s="54" t="s">
        <v>94</v>
      </c>
      <c r="D95" s="248">
        <f t="shared" ref="D95:P95" si="55">$D$25</f>
        <v>0.3</v>
      </c>
      <c r="E95" s="248">
        <f t="shared" si="55"/>
        <v>0.3</v>
      </c>
      <c r="F95" s="248">
        <f t="shared" si="55"/>
        <v>0.3</v>
      </c>
      <c r="G95" s="248">
        <f t="shared" si="55"/>
        <v>0.3</v>
      </c>
      <c r="H95" s="248">
        <f t="shared" si="55"/>
        <v>0.3</v>
      </c>
      <c r="I95" s="248">
        <f t="shared" si="55"/>
        <v>0.3</v>
      </c>
      <c r="J95" s="248">
        <f t="shared" si="55"/>
        <v>0.3</v>
      </c>
      <c r="K95" s="248">
        <f t="shared" si="55"/>
        <v>0.3</v>
      </c>
      <c r="L95" s="248">
        <f t="shared" si="55"/>
        <v>0.3</v>
      </c>
      <c r="M95" s="248">
        <f t="shared" si="55"/>
        <v>0.3</v>
      </c>
      <c r="N95" s="248">
        <f t="shared" si="55"/>
        <v>0.3</v>
      </c>
      <c r="O95" s="248">
        <f t="shared" si="55"/>
        <v>0.3</v>
      </c>
      <c r="P95" s="249">
        <f t="shared" si="55"/>
        <v>0.3</v>
      </c>
      <c r="Q95" s="50"/>
      <c r="R95" s="50"/>
      <c r="S95" s="50"/>
      <c r="T95" s="50"/>
      <c r="U95" s="50"/>
      <c r="V95" s="50"/>
      <c r="W95" s="50"/>
      <c r="X95" s="50"/>
      <c r="Y95" s="50"/>
      <c r="Z95" s="50"/>
    </row>
    <row r="96" spans="1:26" ht="15.75" customHeight="1" x14ac:dyDescent="0.35">
      <c r="A96" s="50"/>
      <c r="B96" s="53" t="s">
        <v>172</v>
      </c>
      <c r="C96" s="54" t="s">
        <v>94</v>
      </c>
      <c r="D96" s="248">
        <f t="shared" ref="D96:P96" si="56">$D$25</f>
        <v>0.3</v>
      </c>
      <c r="E96" s="248">
        <f t="shared" si="56"/>
        <v>0.3</v>
      </c>
      <c r="F96" s="248">
        <f t="shared" si="56"/>
        <v>0.3</v>
      </c>
      <c r="G96" s="248">
        <f t="shared" si="56"/>
        <v>0.3</v>
      </c>
      <c r="H96" s="248">
        <f t="shared" si="56"/>
        <v>0.3</v>
      </c>
      <c r="I96" s="248">
        <f t="shared" si="56"/>
        <v>0.3</v>
      </c>
      <c r="J96" s="248">
        <f t="shared" si="56"/>
        <v>0.3</v>
      </c>
      <c r="K96" s="248">
        <f t="shared" si="56"/>
        <v>0.3</v>
      </c>
      <c r="L96" s="248">
        <f t="shared" si="56"/>
        <v>0.3</v>
      </c>
      <c r="M96" s="248">
        <f t="shared" si="56"/>
        <v>0.3</v>
      </c>
      <c r="N96" s="248">
        <f t="shared" si="56"/>
        <v>0.3</v>
      </c>
      <c r="O96" s="248">
        <f t="shared" si="56"/>
        <v>0.3</v>
      </c>
      <c r="P96" s="249">
        <f t="shared" si="56"/>
        <v>0.3</v>
      </c>
      <c r="Q96" s="50"/>
      <c r="R96" s="50"/>
      <c r="S96" s="50"/>
      <c r="T96" s="50"/>
      <c r="U96" s="50"/>
      <c r="V96" s="50"/>
      <c r="W96" s="50"/>
      <c r="X96" s="50"/>
      <c r="Y96" s="50"/>
      <c r="Z96" s="50"/>
    </row>
    <row r="97" spans="1:26" ht="15.75" customHeight="1" x14ac:dyDescent="0.35">
      <c r="A97" s="50"/>
      <c r="B97" s="53" t="s">
        <v>173</v>
      </c>
      <c r="C97" s="54" t="s">
        <v>94</v>
      </c>
      <c r="D97" s="248">
        <f t="shared" ref="D97:P97" si="57">$D$25</f>
        <v>0.3</v>
      </c>
      <c r="E97" s="248">
        <f t="shared" si="57"/>
        <v>0.3</v>
      </c>
      <c r="F97" s="248">
        <f t="shared" si="57"/>
        <v>0.3</v>
      </c>
      <c r="G97" s="248">
        <f t="shared" si="57"/>
        <v>0.3</v>
      </c>
      <c r="H97" s="248">
        <f t="shared" si="57"/>
        <v>0.3</v>
      </c>
      <c r="I97" s="248">
        <f t="shared" si="57"/>
        <v>0.3</v>
      </c>
      <c r="J97" s="248">
        <f t="shared" si="57"/>
        <v>0.3</v>
      </c>
      <c r="K97" s="248">
        <f t="shared" si="57"/>
        <v>0.3</v>
      </c>
      <c r="L97" s="248">
        <f t="shared" si="57"/>
        <v>0.3</v>
      </c>
      <c r="M97" s="248">
        <f t="shared" si="57"/>
        <v>0.3</v>
      </c>
      <c r="N97" s="248">
        <f t="shared" si="57"/>
        <v>0.3</v>
      </c>
      <c r="O97" s="248">
        <f t="shared" si="57"/>
        <v>0.3</v>
      </c>
      <c r="P97" s="249">
        <f t="shared" si="57"/>
        <v>0.3</v>
      </c>
      <c r="Q97" s="50"/>
      <c r="R97" s="50"/>
      <c r="S97" s="50"/>
      <c r="T97" s="50"/>
      <c r="U97" s="50"/>
      <c r="V97" s="50"/>
      <c r="W97" s="50"/>
      <c r="X97" s="50"/>
      <c r="Y97" s="50"/>
      <c r="Z97" s="50"/>
    </row>
    <row r="98" spans="1:26" ht="15.75" customHeight="1" x14ac:dyDescent="0.35">
      <c r="A98" s="50"/>
      <c r="B98" s="53" t="s">
        <v>174</v>
      </c>
      <c r="C98" s="54" t="s">
        <v>94</v>
      </c>
      <c r="D98" s="248">
        <f t="shared" ref="D98:P98" si="58">$D$25</f>
        <v>0.3</v>
      </c>
      <c r="E98" s="248">
        <f t="shared" si="58"/>
        <v>0.3</v>
      </c>
      <c r="F98" s="248">
        <f t="shared" si="58"/>
        <v>0.3</v>
      </c>
      <c r="G98" s="248">
        <f t="shared" si="58"/>
        <v>0.3</v>
      </c>
      <c r="H98" s="248">
        <f t="shared" si="58"/>
        <v>0.3</v>
      </c>
      <c r="I98" s="248">
        <f t="shared" si="58"/>
        <v>0.3</v>
      </c>
      <c r="J98" s="248">
        <f t="shared" si="58"/>
        <v>0.3</v>
      </c>
      <c r="K98" s="248">
        <f t="shared" si="58"/>
        <v>0.3</v>
      </c>
      <c r="L98" s="248">
        <f t="shared" si="58"/>
        <v>0.3</v>
      </c>
      <c r="M98" s="248">
        <f t="shared" si="58"/>
        <v>0.3</v>
      </c>
      <c r="N98" s="248">
        <f t="shared" si="58"/>
        <v>0.3</v>
      </c>
      <c r="O98" s="248">
        <f t="shared" si="58"/>
        <v>0.3</v>
      </c>
      <c r="P98" s="249">
        <f t="shared" si="58"/>
        <v>0.3</v>
      </c>
      <c r="Q98" s="50"/>
      <c r="R98" s="50"/>
      <c r="S98" s="50"/>
      <c r="T98" s="50"/>
      <c r="U98" s="50"/>
      <c r="V98" s="50"/>
      <c r="W98" s="50"/>
      <c r="X98" s="50"/>
      <c r="Y98" s="50"/>
      <c r="Z98" s="50"/>
    </row>
    <row r="99" spans="1:26" ht="15.75" customHeight="1" x14ac:dyDescent="0.35">
      <c r="A99" s="50"/>
      <c r="B99" s="53" t="s">
        <v>175</v>
      </c>
      <c r="C99" s="54" t="s">
        <v>94</v>
      </c>
      <c r="D99" s="248">
        <f t="shared" ref="D99:P99" si="59">$D$25</f>
        <v>0.3</v>
      </c>
      <c r="E99" s="248">
        <f t="shared" si="59"/>
        <v>0.3</v>
      </c>
      <c r="F99" s="248">
        <f t="shared" si="59"/>
        <v>0.3</v>
      </c>
      <c r="G99" s="248">
        <f t="shared" si="59"/>
        <v>0.3</v>
      </c>
      <c r="H99" s="248">
        <f t="shared" si="59"/>
        <v>0.3</v>
      </c>
      <c r="I99" s="248">
        <f t="shared" si="59"/>
        <v>0.3</v>
      </c>
      <c r="J99" s="248">
        <f t="shared" si="59"/>
        <v>0.3</v>
      </c>
      <c r="K99" s="248">
        <f t="shared" si="59"/>
        <v>0.3</v>
      </c>
      <c r="L99" s="248">
        <f t="shared" si="59"/>
        <v>0.3</v>
      </c>
      <c r="M99" s="248">
        <f t="shared" si="59"/>
        <v>0.3</v>
      </c>
      <c r="N99" s="248">
        <f t="shared" si="59"/>
        <v>0.3</v>
      </c>
      <c r="O99" s="248">
        <f t="shared" si="59"/>
        <v>0.3</v>
      </c>
      <c r="P99" s="249">
        <f t="shared" si="59"/>
        <v>0.3</v>
      </c>
      <c r="Q99" s="50"/>
      <c r="R99" s="50"/>
      <c r="S99" s="50"/>
      <c r="T99" s="50"/>
      <c r="U99" s="50"/>
      <c r="V99" s="50"/>
      <c r="W99" s="50"/>
      <c r="X99" s="50"/>
      <c r="Y99" s="50"/>
      <c r="Z99" s="50"/>
    </row>
    <row r="100" spans="1:26" ht="15.75" customHeight="1" x14ac:dyDescent="0.35">
      <c r="A100" s="50"/>
      <c r="B100" s="53" t="s">
        <v>176</v>
      </c>
      <c r="C100" s="54" t="s">
        <v>94</v>
      </c>
      <c r="D100" s="248">
        <f t="shared" ref="D100:P100" si="60">$D$25</f>
        <v>0.3</v>
      </c>
      <c r="E100" s="248">
        <f t="shared" si="60"/>
        <v>0.3</v>
      </c>
      <c r="F100" s="248">
        <f t="shared" si="60"/>
        <v>0.3</v>
      </c>
      <c r="G100" s="248">
        <f t="shared" si="60"/>
        <v>0.3</v>
      </c>
      <c r="H100" s="248">
        <f t="shared" si="60"/>
        <v>0.3</v>
      </c>
      <c r="I100" s="248">
        <f t="shared" si="60"/>
        <v>0.3</v>
      </c>
      <c r="J100" s="248">
        <f t="shared" si="60"/>
        <v>0.3</v>
      </c>
      <c r="K100" s="248">
        <f t="shared" si="60"/>
        <v>0.3</v>
      </c>
      <c r="L100" s="248">
        <f t="shared" si="60"/>
        <v>0.3</v>
      </c>
      <c r="M100" s="248">
        <f t="shared" si="60"/>
        <v>0.3</v>
      </c>
      <c r="N100" s="248">
        <f t="shared" si="60"/>
        <v>0.3</v>
      </c>
      <c r="O100" s="248">
        <f t="shared" si="60"/>
        <v>0.3</v>
      </c>
      <c r="P100" s="249">
        <f t="shared" si="60"/>
        <v>0.3</v>
      </c>
      <c r="Q100" s="50"/>
      <c r="R100" s="50"/>
      <c r="S100" s="50"/>
      <c r="T100" s="50"/>
      <c r="U100" s="50"/>
      <c r="V100" s="50"/>
      <c r="W100" s="50"/>
      <c r="X100" s="50"/>
      <c r="Y100" s="50"/>
      <c r="Z100" s="50"/>
    </row>
    <row r="101" spans="1:26" ht="15.75" customHeight="1" x14ac:dyDescent="0.35">
      <c r="A101" s="50"/>
      <c r="B101" s="46" t="s">
        <v>280</v>
      </c>
      <c r="C101" s="194"/>
      <c r="D101" s="245"/>
      <c r="E101" s="245"/>
      <c r="F101" s="245"/>
      <c r="G101" s="245"/>
      <c r="H101" s="245"/>
      <c r="I101" s="245"/>
      <c r="J101" s="245"/>
      <c r="K101" s="245"/>
      <c r="L101" s="245"/>
      <c r="M101" s="245"/>
      <c r="N101" s="245"/>
      <c r="O101" s="245"/>
      <c r="P101" s="250"/>
      <c r="Q101" s="50"/>
      <c r="R101" s="50"/>
      <c r="S101" s="50"/>
      <c r="T101" s="50"/>
      <c r="U101" s="50"/>
      <c r="V101" s="50"/>
      <c r="W101" s="50"/>
      <c r="X101" s="50"/>
      <c r="Y101" s="50"/>
      <c r="Z101" s="50"/>
    </row>
    <row r="102" spans="1:26" ht="15.75" customHeight="1" x14ac:dyDescent="0.35">
      <c r="A102" s="50"/>
      <c r="B102" s="53" t="s">
        <v>165</v>
      </c>
      <c r="C102" s="54"/>
      <c r="D102" s="121">
        <f t="shared" ref="D102:P102" si="61">D77*D90</f>
        <v>33.959999999999994</v>
      </c>
      <c r="E102" s="121">
        <f t="shared" si="61"/>
        <v>33.959999999999994</v>
      </c>
      <c r="F102" s="121">
        <f t="shared" si="61"/>
        <v>33.959999999999994</v>
      </c>
      <c r="G102" s="121">
        <f t="shared" si="61"/>
        <v>37.356000000000002</v>
      </c>
      <c r="H102" s="121">
        <f t="shared" si="61"/>
        <v>41.0916</v>
      </c>
      <c r="I102" s="121">
        <f t="shared" si="61"/>
        <v>45.20076000000001</v>
      </c>
      <c r="J102" s="121">
        <f t="shared" si="61"/>
        <v>49.720836000000027</v>
      </c>
      <c r="K102" s="121">
        <f t="shared" si="61"/>
        <v>54.692919600000032</v>
      </c>
      <c r="L102" s="121">
        <f t="shared" si="61"/>
        <v>60.162211560000038</v>
      </c>
      <c r="M102" s="121">
        <f t="shared" si="61"/>
        <v>66.178432716000046</v>
      </c>
      <c r="N102" s="121">
        <f t="shared" si="61"/>
        <v>72.796275987600055</v>
      </c>
      <c r="O102" s="121">
        <f t="shared" si="61"/>
        <v>80.075903586360056</v>
      </c>
      <c r="P102" s="251">
        <f t="shared" si="61"/>
        <v>88.083493944996079</v>
      </c>
      <c r="Q102" s="50"/>
      <c r="R102" s="50"/>
      <c r="S102" s="50"/>
      <c r="T102" s="50"/>
      <c r="U102" s="50"/>
      <c r="V102" s="50"/>
      <c r="W102" s="50"/>
      <c r="X102" s="50"/>
      <c r="Y102" s="50"/>
      <c r="Z102" s="50"/>
    </row>
    <row r="103" spans="1:26" ht="15.75" customHeight="1" x14ac:dyDescent="0.35">
      <c r="A103" s="50"/>
      <c r="B103" s="53" t="s">
        <v>166</v>
      </c>
      <c r="C103" s="54"/>
      <c r="D103" s="121">
        <f t="shared" ref="D103:P103" si="62">D78*D91</f>
        <v>33.959999999999994</v>
      </c>
      <c r="E103" s="121">
        <f t="shared" si="62"/>
        <v>33.959999999999994</v>
      </c>
      <c r="F103" s="121">
        <f t="shared" si="62"/>
        <v>33.959999999999994</v>
      </c>
      <c r="G103" s="121">
        <f t="shared" si="62"/>
        <v>37.356000000000002</v>
      </c>
      <c r="H103" s="121">
        <f t="shared" si="62"/>
        <v>41.0916</v>
      </c>
      <c r="I103" s="121">
        <f t="shared" si="62"/>
        <v>45.20076000000001</v>
      </c>
      <c r="J103" s="121">
        <f t="shared" si="62"/>
        <v>49.720836000000027</v>
      </c>
      <c r="K103" s="121">
        <f t="shared" si="62"/>
        <v>54.692919600000032</v>
      </c>
      <c r="L103" s="121">
        <f t="shared" si="62"/>
        <v>60.162211560000038</v>
      </c>
      <c r="M103" s="121">
        <f t="shared" si="62"/>
        <v>66.178432716000046</v>
      </c>
      <c r="N103" s="121">
        <f t="shared" si="62"/>
        <v>72.796275987600055</v>
      </c>
      <c r="O103" s="121">
        <f t="shared" si="62"/>
        <v>80.075903586360056</v>
      </c>
      <c r="P103" s="251">
        <f t="shared" si="62"/>
        <v>88.083493944996079</v>
      </c>
      <c r="Q103" s="50"/>
      <c r="R103" s="50"/>
      <c r="S103" s="50"/>
      <c r="T103" s="50"/>
      <c r="U103" s="50"/>
      <c r="V103" s="50"/>
      <c r="W103" s="50"/>
      <c r="X103" s="50"/>
      <c r="Y103" s="50"/>
      <c r="Z103" s="50"/>
    </row>
    <row r="104" spans="1:26" ht="15.75" customHeight="1" x14ac:dyDescent="0.35">
      <c r="A104" s="50"/>
      <c r="B104" s="53" t="s">
        <v>167</v>
      </c>
      <c r="C104" s="54"/>
      <c r="D104" s="121">
        <f t="shared" ref="D104:P104" si="63">D79*D92</f>
        <v>33.959999999999994</v>
      </c>
      <c r="E104" s="121">
        <f t="shared" si="63"/>
        <v>33.959999999999994</v>
      </c>
      <c r="F104" s="121">
        <f t="shared" si="63"/>
        <v>33.959999999999994</v>
      </c>
      <c r="G104" s="121">
        <f t="shared" si="63"/>
        <v>37.356000000000002</v>
      </c>
      <c r="H104" s="121">
        <f t="shared" si="63"/>
        <v>41.0916</v>
      </c>
      <c r="I104" s="121">
        <f t="shared" si="63"/>
        <v>45.20076000000001</v>
      </c>
      <c r="J104" s="121">
        <f t="shared" si="63"/>
        <v>49.720836000000027</v>
      </c>
      <c r="K104" s="121">
        <f t="shared" si="63"/>
        <v>54.692919600000032</v>
      </c>
      <c r="L104" s="121">
        <f t="shared" si="63"/>
        <v>60.162211560000038</v>
      </c>
      <c r="M104" s="121">
        <f t="shared" si="63"/>
        <v>66.178432716000046</v>
      </c>
      <c r="N104" s="121">
        <f t="shared" si="63"/>
        <v>72.796275987600055</v>
      </c>
      <c r="O104" s="121">
        <f t="shared" si="63"/>
        <v>80.075903586360056</v>
      </c>
      <c r="P104" s="251">
        <f t="shared" si="63"/>
        <v>88.083493944996079</v>
      </c>
      <c r="Q104" s="50"/>
      <c r="R104" s="50"/>
      <c r="S104" s="50"/>
      <c r="T104" s="50"/>
      <c r="U104" s="50"/>
      <c r="V104" s="50"/>
      <c r="W104" s="50"/>
      <c r="X104" s="50"/>
      <c r="Y104" s="50"/>
      <c r="Z104" s="50"/>
    </row>
    <row r="105" spans="1:26" ht="15.75" customHeight="1" x14ac:dyDescent="0.35">
      <c r="A105" s="50"/>
      <c r="B105" s="53" t="s">
        <v>169</v>
      </c>
      <c r="C105" s="54"/>
      <c r="D105" s="121">
        <f t="shared" ref="D105:P105" si="64">D80*D93</f>
        <v>33.959999999999994</v>
      </c>
      <c r="E105" s="121">
        <f t="shared" si="64"/>
        <v>33.959999999999994</v>
      </c>
      <c r="F105" s="121">
        <f t="shared" si="64"/>
        <v>33.959999999999994</v>
      </c>
      <c r="G105" s="121">
        <f t="shared" si="64"/>
        <v>37.356000000000002</v>
      </c>
      <c r="H105" s="121">
        <f t="shared" si="64"/>
        <v>41.0916</v>
      </c>
      <c r="I105" s="121">
        <f t="shared" si="64"/>
        <v>45.20076000000001</v>
      </c>
      <c r="J105" s="121">
        <f t="shared" si="64"/>
        <v>49.720836000000027</v>
      </c>
      <c r="K105" s="121">
        <f t="shared" si="64"/>
        <v>54.692919600000032</v>
      </c>
      <c r="L105" s="121">
        <f t="shared" si="64"/>
        <v>60.162211560000038</v>
      </c>
      <c r="M105" s="121">
        <f t="shared" si="64"/>
        <v>66.178432716000046</v>
      </c>
      <c r="N105" s="121">
        <f t="shared" si="64"/>
        <v>72.796275987600055</v>
      </c>
      <c r="O105" s="121">
        <f t="shared" si="64"/>
        <v>80.075903586360056</v>
      </c>
      <c r="P105" s="251">
        <f t="shared" si="64"/>
        <v>88.083493944996079</v>
      </c>
      <c r="Q105" s="50"/>
      <c r="R105" s="50"/>
      <c r="S105" s="50"/>
      <c r="T105" s="50"/>
      <c r="U105" s="50"/>
      <c r="V105" s="50"/>
      <c r="W105" s="50"/>
      <c r="X105" s="50"/>
      <c r="Y105" s="50"/>
      <c r="Z105" s="50"/>
    </row>
    <row r="106" spans="1:26" ht="15.75" customHeight="1" x14ac:dyDescent="0.35">
      <c r="A106" s="50"/>
      <c r="B106" s="53" t="s">
        <v>170</v>
      </c>
      <c r="C106" s="54"/>
      <c r="D106" s="121">
        <f t="shared" ref="D106:P106" si="65">D81*D94</f>
        <v>33.959999999999994</v>
      </c>
      <c r="E106" s="121">
        <f t="shared" si="65"/>
        <v>33.959999999999994</v>
      </c>
      <c r="F106" s="121">
        <f t="shared" si="65"/>
        <v>33.959999999999994</v>
      </c>
      <c r="G106" s="121">
        <f t="shared" si="65"/>
        <v>37.356000000000002</v>
      </c>
      <c r="H106" s="121">
        <f t="shared" si="65"/>
        <v>41.0916</v>
      </c>
      <c r="I106" s="121">
        <f t="shared" si="65"/>
        <v>45.20076000000001</v>
      </c>
      <c r="J106" s="121">
        <f t="shared" si="65"/>
        <v>49.720836000000027</v>
      </c>
      <c r="K106" s="121">
        <f t="shared" si="65"/>
        <v>54.692919600000032</v>
      </c>
      <c r="L106" s="121">
        <f t="shared" si="65"/>
        <v>60.162211560000038</v>
      </c>
      <c r="M106" s="121">
        <f t="shared" si="65"/>
        <v>66.178432716000046</v>
      </c>
      <c r="N106" s="121">
        <f t="shared" si="65"/>
        <v>72.796275987600055</v>
      </c>
      <c r="O106" s="121">
        <f t="shared" si="65"/>
        <v>80.075903586360056</v>
      </c>
      <c r="P106" s="251">
        <f t="shared" si="65"/>
        <v>88.083493944996079</v>
      </c>
      <c r="Q106" s="50"/>
      <c r="R106" s="50"/>
      <c r="S106" s="50"/>
      <c r="T106" s="50"/>
      <c r="U106" s="50"/>
      <c r="V106" s="50"/>
      <c r="W106" s="50"/>
      <c r="X106" s="50"/>
      <c r="Y106" s="50"/>
      <c r="Z106" s="50"/>
    </row>
    <row r="107" spans="1:26" ht="15.75" customHeight="1" x14ac:dyDescent="0.35">
      <c r="A107" s="50"/>
      <c r="B107" s="53" t="s">
        <v>171</v>
      </c>
      <c r="C107" s="54"/>
      <c r="D107" s="121">
        <f t="shared" ref="D107:P107" si="66">D82*D95</f>
        <v>33.959999999999994</v>
      </c>
      <c r="E107" s="121">
        <f t="shared" si="66"/>
        <v>33.959999999999994</v>
      </c>
      <c r="F107" s="121">
        <f t="shared" si="66"/>
        <v>33.959999999999994</v>
      </c>
      <c r="G107" s="121">
        <f t="shared" si="66"/>
        <v>37.356000000000002</v>
      </c>
      <c r="H107" s="121">
        <f t="shared" si="66"/>
        <v>41.0916</v>
      </c>
      <c r="I107" s="121">
        <f t="shared" si="66"/>
        <v>45.20076000000001</v>
      </c>
      <c r="J107" s="121">
        <f t="shared" si="66"/>
        <v>49.720836000000027</v>
      </c>
      <c r="K107" s="121">
        <f t="shared" si="66"/>
        <v>54.692919600000032</v>
      </c>
      <c r="L107" s="121">
        <f t="shared" si="66"/>
        <v>60.162211560000038</v>
      </c>
      <c r="M107" s="121">
        <f t="shared" si="66"/>
        <v>66.178432716000046</v>
      </c>
      <c r="N107" s="121">
        <f t="shared" si="66"/>
        <v>72.796275987600055</v>
      </c>
      <c r="O107" s="121">
        <f t="shared" si="66"/>
        <v>80.075903586360056</v>
      </c>
      <c r="P107" s="251">
        <f t="shared" si="66"/>
        <v>88.083493944996079</v>
      </c>
      <c r="Q107" s="50"/>
      <c r="R107" s="50"/>
      <c r="S107" s="50"/>
      <c r="T107" s="50"/>
      <c r="U107" s="50"/>
      <c r="V107" s="50"/>
      <c r="W107" s="50"/>
      <c r="X107" s="50"/>
      <c r="Y107" s="50"/>
      <c r="Z107" s="50"/>
    </row>
    <row r="108" spans="1:26" ht="15.75" customHeight="1" x14ac:dyDescent="0.35">
      <c r="A108" s="50"/>
      <c r="B108" s="53" t="s">
        <v>172</v>
      </c>
      <c r="C108" s="54"/>
      <c r="D108" s="121">
        <f t="shared" ref="D108:P108" si="67">D83*D96</f>
        <v>33.959999999999994</v>
      </c>
      <c r="E108" s="121">
        <f t="shared" si="67"/>
        <v>33.959999999999994</v>
      </c>
      <c r="F108" s="121">
        <f t="shared" si="67"/>
        <v>33.959999999999994</v>
      </c>
      <c r="G108" s="121">
        <f t="shared" si="67"/>
        <v>37.356000000000002</v>
      </c>
      <c r="H108" s="121">
        <f t="shared" si="67"/>
        <v>41.0916</v>
      </c>
      <c r="I108" s="121">
        <f t="shared" si="67"/>
        <v>45.20076000000001</v>
      </c>
      <c r="J108" s="121">
        <f t="shared" si="67"/>
        <v>49.720836000000027</v>
      </c>
      <c r="K108" s="121">
        <f t="shared" si="67"/>
        <v>54.692919600000032</v>
      </c>
      <c r="L108" s="121">
        <f t="shared" si="67"/>
        <v>60.162211560000038</v>
      </c>
      <c r="M108" s="121">
        <f t="shared" si="67"/>
        <v>66.178432716000046</v>
      </c>
      <c r="N108" s="121">
        <f t="shared" si="67"/>
        <v>72.796275987600055</v>
      </c>
      <c r="O108" s="121">
        <f t="shared" si="67"/>
        <v>80.075903586360056</v>
      </c>
      <c r="P108" s="251">
        <f t="shared" si="67"/>
        <v>88.083493944996079</v>
      </c>
      <c r="Q108" s="50"/>
      <c r="R108" s="50"/>
      <c r="S108" s="50"/>
      <c r="T108" s="50"/>
      <c r="U108" s="50"/>
      <c r="V108" s="50"/>
      <c r="W108" s="50"/>
      <c r="X108" s="50"/>
      <c r="Y108" s="50"/>
      <c r="Z108" s="50"/>
    </row>
    <row r="109" spans="1:26" ht="15.75" customHeight="1" x14ac:dyDescent="0.35">
      <c r="A109" s="50"/>
      <c r="B109" s="53" t="s">
        <v>173</v>
      </c>
      <c r="C109" s="54"/>
      <c r="D109" s="121">
        <f t="shared" ref="D109:P109" si="68">D84*D97</f>
        <v>33.959999999999994</v>
      </c>
      <c r="E109" s="121">
        <f t="shared" si="68"/>
        <v>33.959999999999994</v>
      </c>
      <c r="F109" s="121">
        <f t="shared" si="68"/>
        <v>33.959999999999994</v>
      </c>
      <c r="G109" s="121">
        <f t="shared" si="68"/>
        <v>37.356000000000002</v>
      </c>
      <c r="H109" s="121">
        <f t="shared" si="68"/>
        <v>41.0916</v>
      </c>
      <c r="I109" s="121">
        <f t="shared" si="68"/>
        <v>45.20076000000001</v>
      </c>
      <c r="J109" s="121">
        <f t="shared" si="68"/>
        <v>49.720836000000027</v>
      </c>
      <c r="K109" s="121">
        <f t="shared" si="68"/>
        <v>54.692919600000032</v>
      </c>
      <c r="L109" s="121">
        <f t="shared" si="68"/>
        <v>60.162211560000038</v>
      </c>
      <c r="M109" s="121">
        <f t="shared" si="68"/>
        <v>66.178432716000046</v>
      </c>
      <c r="N109" s="121">
        <f t="shared" si="68"/>
        <v>72.796275987600055</v>
      </c>
      <c r="O109" s="121">
        <f t="shared" si="68"/>
        <v>80.075903586360056</v>
      </c>
      <c r="P109" s="251">
        <f t="shared" si="68"/>
        <v>88.083493944996079</v>
      </c>
      <c r="Q109" s="50"/>
      <c r="R109" s="50"/>
      <c r="S109" s="50"/>
      <c r="T109" s="50"/>
      <c r="U109" s="50"/>
      <c r="V109" s="50"/>
      <c r="W109" s="50"/>
      <c r="X109" s="50"/>
      <c r="Y109" s="50"/>
      <c r="Z109" s="50"/>
    </row>
    <row r="110" spans="1:26" ht="15.75" customHeight="1" x14ac:dyDescent="0.35">
      <c r="A110" s="50"/>
      <c r="B110" s="53" t="s">
        <v>174</v>
      </c>
      <c r="C110" s="54"/>
      <c r="D110" s="121">
        <f t="shared" ref="D110:P110" si="69">D85*D98</f>
        <v>33.959999999999994</v>
      </c>
      <c r="E110" s="121">
        <f t="shared" si="69"/>
        <v>33.959999999999994</v>
      </c>
      <c r="F110" s="121">
        <f t="shared" si="69"/>
        <v>33.959999999999994</v>
      </c>
      <c r="G110" s="121">
        <f t="shared" si="69"/>
        <v>37.356000000000002</v>
      </c>
      <c r="H110" s="121">
        <f t="shared" si="69"/>
        <v>41.0916</v>
      </c>
      <c r="I110" s="121">
        <f t="shared" si="69"/>
        <v>45.20076000000001</v>
      </c>
      <c r="J110" s="121">
        <f t="shared" si="69"/>
        <v>49.720836000000027</v>
      </c>
      <c r="K110" s="121">
        <f t="shared" si="69"/>
        <v>54.692919600000032</v>
      </c>
      <c r="L110" s="121">
        <f t="shared" si="69"/>
        <v>60.162211560000038</v>
      </c>
      <c r="M110" s="121">
        <f t="shared" si="69"/>
        <v>66.178432716000046</v>
      </c>
      <c r="N110" s="121">
        <f t="shared" si="69"/>
        <v>72.796275987600055</v>
      </c>
      <c r="O110" s="121">
        <f t="shared" si="69"/>
        <v>80.075903586360056</v>
      </c>
      <c r="P110" s="251">
        <f t="shared" si="69"/>
        <v>88.083493944996079</v>
      </c>
      <c r="Q110" s="50"/>
      <c r="R110" s="50"/>
      <c r="S110" s="50"/>
      <c r="T110" s="50"/>
      <c r="U110" s="50"/>
      <c r="V110" s="50"/>
      <c r="W110" s="50"/>
      <c r="X110" s="50"/>
      <c r="Y110" s="50"/>
      <c r="Z110" s="50"/>
    </row>
    <row r="111" spans="1:26" ht="15.75" customHeight="1" x14ac:dyDescent="0.35">
      <c r="A111" s="50"/>
      <c r="B111" s="53" t="s">
        <v>175</v>
      </c>
      <c r="C111" s="54"/>
      <c r="D111" s="121">
        <f t="shared" ref="D111:P111" si="70">D86*D99</f>
        <v>33.959999999999994</v>
      </c>
      <c r="E111" s="121">
        <f t="shared" si="70"/>
        <v>33.959999999999994</v>
      </c>
      <c r="F111" s="121">
        <f t="shared" si="70"/>
        <v>33.959999999999994</v>
      </c>
      <c r="G111" s="121">
        <f t="shared" si="70"/>
        <v>37.356000000000002</v>
      </c>
      <c r="H111" s="121">
        <f t="shared" si="70"/>
        <v>41.0916</v>
      </c>
      <c r="I111" s="121">
        <f t="shared" si="70"/>
        <v>45.20076000000001</v>
      </c>
      <c r="J111" s="121">
        <f t="shared" si="70"/>
        <v>49.720836000000027</v>
      </c>
      <c r="K111" s="121">
        <f t="shared" si="70"/>
        <v>54.692919600000032</v>
      </c>
      <c r="L111" s="121">
        <f t="shared" si="70"/>
        <v>60.162211560000038</v>
      </c>
      <c r="M111" s="121">
        <f t="shared" si="70"/>
        <v>66.178432716000046</v>
      </c>
      <c r="N111" s="121">
        <f t="shared" si="70"/>
        <v>72.796275987600055</v>
      </c>
      <c r="O111" s="121">
        <f t="shared" si="70"/>
        <v>80.075903586360056</v>
      </c>
      <c r="P111" s="251">
        <f t="shared" si="70"/>
        <v>88.083493944996079</v>
      </c>
      <c r="Q111" s="50"/>
      <c r="R111" s="50"/>
      <c r="S111" s="50"/>
      <c r="T111" s="50"/>
      <c r="U111" s="50"/>
      <c r="V111" s="50"/>
      <c r="W111" s="50"/>
      <c r="X111" s="50"/>
      <c r="Y111" s="50"/>
      <c r="Z111" s="50"/>
    </row>
    <row r="112" spans="1:26" ht="15.75" customHeight="1" x14ac:dyDescent="0.35">
      <c r="A112" s="50"/>
      <c r="B112" s="53" t="s">
        <v>176</v>
      </c>
      <c r="C112" s="54"/>
      <c r="D112" s="121">
        <f t="shared" ref="D112:P112" si="71">D87*D100</f>
        <v>33.959999999999994</v>
      </c>
      <c r="E112" s="121">
        <f t="shared" si="71"/>
        <v>33.959999999999994</v>
      </c>
      <c r="F112" s="121">
        <f t="shared" si="71"/>
        <v>33.959999999999994</v>
      </c>
      <c r="G112" s="121">
        <f t="shared" si="71"/>
        <v>37.356000000000002</v>
      </c>
      <c r="H112" s="121">
        <f t="shared" si="71"/>
        <v>41.0916</v>
      </c>
      <c r="I112" s="121">
        <f t="shared" si="71"/>
        <v>45.20076000000001</v>
      </c>
      <c r="J112" s="121">
        <f t="shared" si="71"/>
        <v>49.720836000000027</v>
      </c>
      <c r="K112" s="121">
        <f t="shared" si="71"/>
        <v>54.692919600000032</v>
      </c>
      <c r="L112" s="121">
        <f t="shared" si="71"/>
        <v>60.162211560000038</v>
      </c>
      <c r="M112" s="121">
        <f t="shared" si="71"/>
        <v>66.178432716000046</v>
      </c>
      <c r="N112" s="121">
        <f t="shared" si="71"/>
        <v>72.796275987600055</v>
      </c>
      <c r="O112" s="121">
        <f t="shared" si="71"/>
        <v>80.075903586360056</v>
      </c>
      <c r="P112" s="251">
        <f t="shared" si="71"/>
        <v>88.083493944996079</v>
      </c>
      <c r="Q112" s="50"/>
      <c r="R112" s="50"/>
      <c r="S112" s="50"/>
      <c r="T112" s="50"/>
      <c r="U112" s="50"/>
      <c r="V112" s="50"/>
      <c r="W112" s="50"/>
      <c r="X112" s="50"/>
      <c r="Y112" s="50"/>
      <c r="Z112" s="50"/>
    </row>
    <row r="113" spans="1:26" ht="15.75" customHeight="1" x14ac:dyDescent="0.35">
      <c r="A113" s="237"/>
      <c r="B113" s="238" t="s">
        <v>65</v>
      </c>
      <c r="C113" s="239"/>
      <c r="D113" s="252">
        <f t="shared" ref="D113:P113" si="72">SUM(D102:D112)</f>
        <v>373.55999999999983</v>
      </c>
      <c r="E113" s="252">
        <f t="shared" si="72"/>
        <v>373.55999999999983</v>
      </c>
      <c r="F113" s="252">
        <f t="shared" si="72"/>
        <v>373.55999999999983</v>
      </c>
      <c r="G113" s="252">
        <f t="shared" si="72"/>
        <v>410.916</v>
      </c>
      <c r="H113" s="252">
        <f t="shared" si="72"/>
        <v>452.00759999999991</v>
      </c>
      <c r="I113" s="252">
        <f t="shared" si="72"/>
        <v>497.20836000000008</v>
      </c>
      <c r="J113" s="252">
        <f t="shared" si="72"/>
        <v>546.92919600000027</v>
      </c>
      <c r="K113" s="252">
        <f t="shared" si="72"/>
        <v>601.62211560000026</v>
      </c>
      <c r="L113" s="252">
        <f t="shared" si="72"/>
        <v>661.78432716000054</v>
      </c>
      <c r="M113" s="252">
        <f t="shared" si="72"/>
        <v>727.96275987600063</v>
      </c>
      <c r="N113" s="252">
        <f t="shared" si="72"/>
        <v>800.75903586360073</v>
      </c>
      <c r="O113" s="252">
        <f t="shared" si="72"/>
        <v>880.83493944996042</v>
      </c>
      <c r="P113" s="253">
        <f t="shared" si="72"/>
        <v>968.91843339495711</v>
      </c>
      <c r="Q113" s="237"/>
      <c r="R113" s="237"/>
      <c r="S113" s="237"/>
      <c r="T113" s="237"/>
      <c r="U113" s="237"/>
      <c r="V113" s="237"/>
      <c r="W113" s="237"/>
      <c r="X113" s="237"/>
      <c r="Y113" s="237"/>
      <c r="Z113" s="237"/>
    </row>
    <row r="114" spans="1:26" ht="15.75" customHeight="1" x14ac:dyDescent="0.35">
      <c r="A114" s="50"/>
      <c r="B114" s="219" t="s">
        <v>137</v>
      </c>
      <c r="C114" s="220" t="s">
        <v>138</v>
      </c>
      <c r="D114" s="221">
        <f t="array" ref="D114">NPV(D32,D113:P113)</f>
        <v>5222.4416308774307</v>
      </c>
      <c r="E114" s="134"/>
      <c r="F114" s="134"/>
      <c r="G114" s="134"/>
      <c r="H114" s="134"/>
      <c r="I114" s="134"/>
      <c r="J114" s="134"/>
      <c r="K114" s="134"/>
      <c r="L114" s="134"/>
      <c r="M114" s="134"/>
      <c r="N114" s="134"/>
      <c r="O114" s="134"/>
      <c r="P114" s="136"/>
      <c r="Q114" s="50"/>
      <c r="R114" s="50"/>
      <c r="S114" s="50"/>
      <c r="T114" s="50"/>
      <c r="U114" s="50"/>
      <c r="V114" s="50"/>
      <c r="W114" s="50"/>
      <c r="X114" s="50"/>
      <c r="Y114" s="50"/>
      <c r="Z114" s="50"/>
    </row>
    <row r="115" spans="1:26" ht="15.75" customHeight="1" x14ac:dyDescent="0.35">
      <c r="A115" s="50"/>
      <c r="B115" s="50"/>
      <c r="C115" s="63"/>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35" t="s">
        <v>55</v>
      </c>
      <c r="C116" s="36"/>
      <c r="D116" s="565" t="s">
        <v>129</v>
      </c>
      <c r="E116" s="552"/>
      <c r="F116" s="553"/>
      <c r="G116" s="112" t="s">
        <v>130</v>
      </c>
      <c r="H116" s="38" t="e">
        <f t="shared" ref="H116:P116" si="73">+G116+1</f>
        <v>#VALUE!</v>
      </c>
      <c r="I116" s="38" t="e">
        <f t="shared" si="73"/>
        <v>#VALUE!</v>
      </c>
      <c r="J116" s="38" t="e">
        <f t="shared" si="73"/>
        <v>#VALUE!</v>
      </c>
      <c r="K116" s="38" t="e">
        <f t="shared" si="73"/>
        <v>#VALUE!</v>
      </c>
      <c r="L116" s="38" t="e">
        <f t="shared" si="73"/>
        <v>#VALUE!</v>
      </c>
      <c r="M116" s="38" t="e">
        <f t="shared" si="73"/>
        <v>#VALUE!</v>
      </c>
      <c r="N116" s="38" t="e">
        <f t="shared" si="73"/>
        <v>#VALUE!</v>
      </c>
      <c r="O116" s="38" t="e">
        <f t="shared" si="73"/>
        <v>#VALUE!</v>
      </c>
      <c r="P116" s="39" t="e">
        <f t="shared" si="73"/>
        <v>#VALUE!</v>
      </c>
      <c r="Q116" s="50"/>
      <c r="R116" s="50"/>
      <c r="S116" s="50"/>
      <c r="T116" s="50"/>
      <c r="U116" s="50"/>
      <c r="V116" s="50"/>
      <c r="W116" s="50"/>
      <c r="X116" s="50"/>
      <c r="Y116" s="50"/>
      <c r="Z116" s="50"/>
    </row>
    <row r="117" spans="1:26" ht="15.75" customHeight="1" x14ac:dyDescent="0.35">
      <c r="A117" s="50"/>
      <c r="B117" s="40"/>
      <c r="C117" s="41"/>
      <c r="D117" s="43">
        <f>D36</f>
        <v>1</v>
      </c>
      <c r="E117" s="43">
        <f>+D117+1</f>
        <v>2</v>
      </c>
      <c r="F117" s="43">
        <f t="shared" ref="F117:P117" si="74">E117+1</f>
        <v>3</v>
      </c>
      <c r="G117" s="43">
        <f t="shared" si="74"/>
        <v>4</v>
      </c>
      <c r="H117" s="43">
        <f t="shared" si="74"/>
        <v>5</v>
      </c>
      <c r="I117" s="43">
        <f t="shared" si="74"/>
        <v>6</v>
      </c>
      <c r="J117" s="43">
        <f t="shared" si="74"/>
        <v>7</v>
      </c>
      <c r="K117" s="43">
        <f t="shared" si="74"/>
        <v>8</v>
      </c>
      <c r="L117" s="43">
        <f t="shared" si="74"/>
        <v>9</v>
      </c>
      <c r="M117" s="43">
        <f t="shared" si="74"/>
        <v>10</v>
      </c>
      <c r="N117" s="43">
        <f t="shared" si="74"/>
        <v>11</v>
      </c>
      <c r="O117" s="43">
        <f t="shared" si="74"/>
        <v>12</v>
      </c>
      <c r="P117" s="114">
        <f t="shared" si="74"/>
        <v>13</v>
      </c>
      <c r="Q117" s="50"/>
      <c r="R117" s="50"/>
      <c r="S117" s="50"/>
      <c r="T117" s="50"/>
      <c r="U117" s="50"/>
      <c r="V117" s="50"/>
      <c r="W117" s="50"/>
      <c r="X117" s="50"/>
      <c r="Y117" s="50"/>
      <c r="Z117" s="50"/>
    </row>
    <row r="118" spans="1:26" ht="15.75" customHeight="1" x14ac:dyDescent="0.35">
      <c r="A118" s="50"/>
      <c r="B118" s="46" t="s">
        <v>312</v>
      </c>
      <c r="C118" s="65"/>
      <c r="D118" s="123"/>
      <c r="E118" s="123"/>
      <c r="F118" s="123"/>
      <c r="G118" s="50"/>
      <c r="H118" s="50"/>
      <c r="I118" s="50"/>
      <c r="J118" s="50"/>
      <c r="K118" s="50"/>
      <c r="L118" s="50"/>
      <c r="M118" s="50"/>
      <c r="N118" s="50"/>
      <c r="O118" s="50"/>
      <c r="P118" s="115"/>
      <c r="Q118" s="50"/>
      <c r="R118" s="50"/>
      <c r="S118" s="50"/>
      <c r="T118" s="50"/>
      <c r="U118" s="50"/>
      <c r="V118" s="50"/>
      <c r="W118" s="50"/>
      <c r="X118" s="50"/>
      <c r="Y118" s="50"/>
      <c r="Z118" s="50"/>
    </row>
    <row r="119" spans="1:26" ht="15.75" customHeight="1" x14ac:dyDescent="0.35">
      <c r="A119" s="50"/>
      <c r="B119" s="53" t="s">
        <v>165</v>
      </c>
      <c r="C119" s="54" t="s">
        <v>94</v>
      </c>
      <c r="D119" s="120">
        <f t="shared" ref="D119:P119" si="75">D64</f>
        <v>100</v>
      </c>
      <c r="E119" s="120">
        <f t="shared" si="75"/>
        <v>100</v>
      </c>
      <c r="F119" s="120">
        <f t="shared" si="75"/>
        <v>100</v>
      </c>
      <c r="G119" s="120">
        <f t="shared" si="75"/>
        <v>110.00000000000001</v>
      </c>
      <c r="H119" s="120">
        <f t="shared" si="75"/>
        <v>121.00000000000003</v>
      </c>
      <c r="I119" s="120">
        <f t="shared" si="75"/>
        <v>133.10000000000005</v>
      </c>
      <c r="J119" s="120">
        <f t="shared" si="75"/>
        <v>146.41000000000008</v>
      </c>
      <c r="K119" s="120">
        <f t="shared" si="75"/>
        <v>161.0510000000001</v>
      </c>
      <c r="L119" s="120">
        <f t="shared" si="75"/>
        <v>177.15610000000012</v>
      </c>
      <c r="M119" s="120">
        <f t="shared" si="75"/>
        <v>194.87171000000015</v>
      </c>
      <c r="N119" s="120">
        <f t="shared" si="75"/>
        <v>214.3588810000002</v>
      </c>
      <c r="O119" s="120">
        <f t="shared" si="75"/>
        <v>235.79476910000022</v>
      </c>
      <c r="P119" s="124">
        <f t="shared" si="75"/>
        <v>259.37424601000026</v>
      </c>
      <c r="Q119" s="50"/>
      <c r="R119" s="50"/>
      <c r="S119" s="50"/>
      <c r="T119" s="50"/>
      <c r="U119" s="50"/>
      <c r="V119" s="50"/>
      <c r="W119" s="50"/>
      <c r="X119" s="50"/>
      <c r="Y119" s="50"/>
      <c r="Z119" s="50"/>
    </row>
    <row r="120" spans="1:26" ht="15.75" customHeight="1" x14ac:dyDescent="0.35">
      <c r="A120" s="50"/>
      <c r="B120" s="53" t="s">
        <v>166</v>
      </c>
      <c r="C120" s="54" t="s">
        <v>94</v>
      </c>
      <c r="D120" s="120">
        <f t="shared" ref="D120:P120" si="76">D65</f>
        <v>100</v>
      </c>
      <c r="E120" s="120">
        <f t="shared" si="76"/>
        <v>100</v>
      </c>
      <c r="F120" s="120">
        <f t="shared" si="76"/>
        <v>100</v>
      </c>
      <c r="G120" s="120">
        <f t="shared" si="76"/>
        <v>110.00000000000001</v>
      </c>
      <c r="H120" s="120">
        <f t="shared" si="76"/>
        <v>121.00000000000003</v>
      </c>
      <c r="I120" s="120">
        <f t="shared" si="76"/>
        <v>133.10000000000005</v>
      </c>
      <c r="J120" s="120">
        <f t="shared" si="76"/>
        <v>146.41000000000008</v>
      </c>
      <c r="K120" s="120">
        <f t="shared" si="76"/>
        <v>161.0510000000001</v>
      </c>
      <c r="L120" s="120">
        <f t="shared" si="76"/>
        <v>177.15610000000012</v>
      </c>
      <c r="M120" s="120">
        <f t="shared" si="76"/>
        <v>194.87171000000015</v>
      </c>
      <c r="N120" s="120">
        <f t="shared" si="76"/>
        <v>214.3588810000002</v>
      </c>
      <c r="O120" s="120">
        <f t="shared" si="76"/>
        <v>235.79476910000022</v>
      </c>
      <c r="P120" s="124">
        <f t="shared" si="76"/>
        <v>259.37424601000026</v>
      </c>
      <c r="Q120" s="50"/>
      <c r="R120" s="50"/>
      <c r="S120" s="50"/>
      <c r="T120" s="50"/>
      <c r="U120" s="50"/>
      <c r="V120" s="50"/>
      <c r="W120" s="50"/>
      <c r="X120" s="50"/>
      <c r="Y120" s="50"/>
      <c r="Z120" s="50"/>
    </row>
    <row r="121" spans="1:26" ht="15.75" customHeight="1" x14ac:dyDescent="0.35">
      <c r="A121" s="50"/>
      <c r="B121" s="53" t="s">
        <v>167</v>
      </c>
      <c r="C121" s="54" t="s">
        <v>94</v>
      </c>
      <c r="D121" s="120">
        <f t="shared" ref="D121:P121" si="77">D66</f>
        <v>100</v>
      </c>
      <c r="E121" s="120">
        <f t="shared" si="77"/>
        <v>100</v>
      </c>
      <c r="F121" s="120">
        <f t="shared" si="77"/>
        <v>100</v>
      </c>
      <c r="G121" s="120">
        <f t="shared" si="77"/>
        <v>110.00000000000001</v>
      </c>
      <c r="H121" s="120">
        <f t="shared" si="77"/>
        <v>121.00000000000003</v>
      </c>
      <c r="I121" s="120">
        <f t="shared" si="77"/>
        <v>133.10000000000005</v>
      </c>
      <c r="J121" s="120">
        <f t="shared" si="77"/>
        <v>146.41000000000008</v>
      </c>
      <c r="K121" s="120">
        <f t="shared" si="77"/>
        <v>161.0510000000001</v>
      </c>
      <c r="L121" s="120">
        <f t="shared" si="77"/>
        <v>177.15610000000012</v>
      </c>
      <c r="M121" s="120">
        <f t="shared" si="77"/>
        <v>194.87171000000015</v>
      </c>
      <c r="N121" s="120">
        <f t="shared" si="77"/>
        <v>214.3588810000002</v>
      </c>
      <c r="O121" s="120">
        <f t="shared" si="77"/>
        <v>235.79476910000022</v>
      </c>
      <c r="P121" s="124">
        <f t="shared" si="77"/>
        <v>259.37424601000026</v>
      </c>
      <c r="Q121" s="50"/>
      <c r="R121" s="50"/>
      <c r="S121" s="50"/>
      <c r="T121" s="50"/>
      <c r="U121" s="50"/>
      <c r="V121" s="50"/>
      <c r="W121" s="50"/>
      <c r="X121" s="50"/>
      <c r="Y121" s="50"/>
      <c r="Z121" s="50"/>
    </row>
    <row r="122" spans="1:26" ht="15.75" customHeight="1" x14ac:dyDescent="0.35">
      <c r="A122" s="50"/>
      <c r="B122" s="53" t="s">
        <v>169</v>
      </c>
      <c r="C122" s="54" t="s">
        <v>94</v>
      </c>
      <c r="D122" s="120">
        <f t="shared" ref="D122:P122" si="78">D67</f>
        <v>100</v>
      </c>
      <c r="E122" s="120">
        <f t="shared" si="78"/>
        <v>100</v>
      </c>
      <c r="F122" s="120">
        <f t="shared" si="78"/>
        <v>100</v>
      </c>
      <c r="G122" s="120">
        <f t="shared" si="78"/>
        <v>110.00000000000001</v>
      </c>
      <c r="H122" s="120">
        <f t="shared" si="78"/>
        <v>121.00000000000003</v>
      </c>
      <c r="I122" s="120">
        <f t="shared" si="78"/>
        <v>133.10000000000005</v>
      </c>
      <c r="J122" s="120">
        <f t="shared" si="78"/>
        <v>146.41000000000008</v>
      </c>
      <c r="K122" s="120">
        <f t="shared" si="78"/>
        <v>161.0510000000001</v>
      </c>
      <c r="L122" s="120">
        <f t="shared" si="78"/>
        <v>177.15610000000012</v>
      </c>
      <c r="M122" s="120">
        <f t="shared" si="78"/>
        <v>194.87171000000015</v>
      </c>
      <c r="N122" s="120">
        <f t="shared" si="78"/>
        <v>214.3588810000002</v>
      </c>
      <c r="O122" s="120">
        <f t="shared" si="78"/>
        <v>235.79476910000022</v>
      </c>
      <c r="P122" s="124">
        <f t="shared" si="78"/>
        <v>259.37424601000026</v>
      </c>
      <c r="Q122" s="50"/>
      <c r="R122" s="50"/>
      <c r="S122" s="50"/>
      <c r="T122" s="50"/>
      <c r="U122" s="50"/>
      <c r="V122" s="50"/>
      <c r="W122" s="50"/>
      <c r="X122" s="50"/>
      <c r="Y122" s="50"/>
      <c r="Z122" s="50"/>
    </row>
    <row r="123" spans="1:26" ht="15.75" customHeight="1" x14ac:dyDescent="0.35">
      <c r="A123" s="50"/>
      <c r="B123" s="53" t="s">
        <v>170</v>
      </c>
      <c r="C123" s="54" t="s">
        <v>94</v>
      </c>
      <c r="D123" s="120">
        <f t="shared" ref="D123:P123" si="79">D68</f>
        <v>100</v>
      </c>
      <c r="E123" s="120">
        <f t="shared" si="79"/>
        <v>100</v>
      </c>
      <c r="F123" s="120">
        <f t="shared" si="79"/>
        <v>100</v>
      </c>
      <c r="G123" s="120">
        <f t="shared" si="79"/>
        <v>110.00000000000001</v>
      </c>
      <c r="H123" s="120">
        <f t="shared" si="79"/>
        <v>121.00000000000003</v>
      </c>
      <c r="I123" s="120">
        <f t="shared" si="79"/>
        <v>133.10000000000005</v>
      </c>
      <c r="J123" s="120">
        <f t="shared" si="79"/>
        <v>146.41000000000008</v>
      </c>
      <c r="K123" s="120">
        <f t="shared" si="79"/>
        <v>161.0510000000001</v>
      </c>
      <c r="L123" s="120">
        <f t="shared" si="79"/>
        <v>177.15610000000012</v>
      </c>
      <c r="M123" s="120">
        <f t="shared" si="79"/>
        <v>194.87171000000015</v>
      </c>
      <c r="N123" s="120">
        <f t="shared" si="79"/>
        <v>214.3588810000002</v>
      </c>
      <c r="O123" s="120">
        <f t="shared" si="79"/>
        <v>235.79476910000022</v>
      </c>
      <c r="P123" s="124">
        <f t="shared" si="79"/>
        <v>259.37424601000026</v>
      </c>
      <c r="Q123" s="50"/>
      <c r="R123" s="50"/>
      <c r="S123" s="50"/>
      <c r="T123" s="50"/>
      <c r="U123" s="50"/>
      <c r="V123" s="50"/>
      <c r="W123" s="50"/>
      <c r="X123" s="50"/>
      <c r="Y123" s="50"/>
      <c r="Z123" s="50"/>
    </row>
    <row r="124" spans="1:26" ht="15.75" customHeight="1" x14ac:dyDescent="0.35">
      <c r="A124" s="50"/>
      <c r="B124" s="53" t="s">
        <v>171</v>
      </c>
      <c r="C124" s="54" t="s">
        <v>94</v>
      </c>
      <c r="D124" s="120">
        <f t="shared" ref="D124:P124" si="80">D69</f>
        <v>100</v>
      </c>
      <c r="E124" s="120">
        <f t="shared" si="80"/>
        <v>100</v>
      </c>
      <c r="F124" s="120">
        <f t="shared" si="80"/>
        <v>100</v>
      </c>
      <c r="G124" s="120">
        <f t="shared" si="80"/>
        <v>110.00000000000001</v>
      </c>
      <c r="H124" s="120">
        <f t="shared" si="80"/>
        <v>121.00000000000003</v>
      </c>
      <c r="I124" s="120">
        <f t="shared" si="80"/>
        <v>133.10000000000005</v>
      </c>
      <c r="J124" s="120">
        <f t="shared" si="80"/>
        <v>146.41000000000008</v>
      </c>
      <c r="K124" s="120">
        <f t="shared" si="80"/>
        <v>161.0510000000001</v>
      </c>
      <c r="L124" s="120">
        <f t="shared" si="80"/>
        <v>177.15610000000012</v>
      </c>
      <c r="M124" s="120">
        <f t="shared" si="80"/>
        <v>194.87171000000015</v>
      </c>
      <c r="N124" s="120">
        <f t="shared" si="80"/>
        <v>214.3588810000002</v>
      </c>
      <c r="O124" s="120">
        <f t="shared" si="80"/>
        <v>235.79476910000022</v>
      </c>
      <c r="P124" s="124">
        <f t="shared" si="80"/>
        <v>259.37424601000026</v>
      </c>
      <c r="Q124" s="50"/>
      <c r="R124" s="50"/>
      <c r="S124" s="50"/>
      <c r="T124" s="50"/>
      <c r="U124" s="50"/>
      <c r="V124" s="50"/>
      <c r="W124" s="50"/>
      <c r="X124" s="50"/>
      <c r="Y124" s="50"/>
      <c r="Z124" s="50"/>
    </row>
    <row r="125" spans="1:26" ht="15.75" customHeight="1" x14ac:dyDescent="0.35">
      <c r="A125" s="50"/>
      <c r="B125" s="53" t="s">
        <v>172</v>
      </c>
      <c r="C125" s="54" t="s">
        <v>94</v>
      </c>
      <c r="D125" s="120">
        <f t="shared" ref="D125:P125" si="81">D70</f>
        <v>100</v>
      </c>
      <c r="E125" s="120">
        <f t="shared" si="81"/>
        <v>100</v>
      </c>
      <c r="F125" s="120">
        <f t="shared" si="81"/>
        <v>100</v>
      </c>
      <c r="G125" s="120">
        <f t="shared" si="81"/>
        <v>110.00000000000001</v>
      </c>
      <c r="H125" s="120">
        <f t="shared" si="81"/>
        <v>121.00000000000003</v>
      </c>
      <c r="I125" s="120">
        <f t="shared" si="81"/>
        <v>133.10000000000005</v>
      </c>
      <c r="J125" s="120">
        <f t="shared" si="81"/>
        <v>146.41000000000008</v>
      </c>
      <c r="K125" s="120">
        <f t="shared" si="81"/>
        <v>161.0510000000001</v>
      </c>
      <c r="L125" s="120">
        <f t="shared" si="81"/>
        <v>177.15610000000012</v>
      </c>
      <c r="M125" s="120">
        <f t="shared" si="81"/>
        <v>194.87171000000015</v>
      </c>
      <c r="N125" s="120">
        <f t="shared" si="81"/>
        <v>214.3588810000002</v>
      </c>
      <c r="O125" s="120">
        <f t="shared" si="81"/>
        <v>235.79476910000022</v>
      </c>
      <c r="P125" s="124">
        <f t="shared" si="81"/>
        <v>259.37424601000026</v>
      </c>
      <c r="Q125" s="50"/>
      <c r="R125" s="50"/>
      <c r="S125" s="50"/>
      <c r="T125" s="50"/>
      <c r="U125" s="50"/>
      <c r="V125" s="50"/>
      <c r="W125" s="50"/>
      <c r="X125" s="50"/>
      <c r="Y125" s="50"/>
      <c r="Z125" s="50"/>
    </row>
    <row r="126" spans="1:26" ht="15.75" customHeight="1" x14ac:dyDescent="0.35">
      <c r="A126" s="50"/>
      <c r="B126" s="53" t="s">
        <v>173</v>
      </c>
      <c r="C126" s="54" t="s">
        <v>94</v>
      </c>
      <c r="D126" s="120">
        <f t="shared" ref="D126:P126" si="82">D71</f>
        <v>100</v>
      </c>
      <c r="E126" s="120">
        <f t="shared" si="82"/>
        <v>100</v>
      </c>
      <c r="F126" s="120">
        <f t="shared" si="82"/>
        <v>100</v>
      </c>
      <c r="G126" s="120">
        <f t="shared" si="82"/>
        <v>110.00000000000001</v>
      </c>
      <c r="H126" s="120">
        <f t="shared" si="82"/>
        <v>121.00000000000003</v>
      </c>
      <c r="I126" s="120">
        <f t="shared" si="82"/>
        <v>133.10000000000005</v>
      </c>
      <c r="J126" s="120">
        <f t="shared" si="82"/>
        <v>146.41000000000008</v>
      </c>
      <c r="K126" s="120">
        <f t="shared" si="82"/>
        <v>161.0510000000001</v>
      </c>
      <c r="L126" s="120">
        <f t="shared" si="82"/>
        <v>177.15610000000012</v>
      </c>
      <c r="M126" s="120">
        <f t="shared" si="82"/>
        <v>194.87171000000015</v>
      </c>
      <c r="N126" s="120">
        <f t="shared" si="82"/>
        <v>214.3588810000002</v>
      </c>
      <c r="O126" s="120">
        <f t="shared" si="82"/>
        <v>235.79476910000022</v>
      </c>
      <c r="P126" s="124">
        <f t="shared" si="82"/>
        <v>259.37424601000026</v>
      </c>
      <c r="Q126" s="50"/>
      <c r="R126" s="50"/>
      <c r="S126" s="50"/>
      <c r="T126" s="50"/>
      <c r="U126" s="50"/>
      <c r="V126" s="50"/>
      <c r="W126" s="50"/>
      <c r="X126" s="50"/>
      <c r="Y126" s="50"/>
      <c r="Z126" s="50"/>
    </row>
    <row r="127" spans="1:26" ht="15.75" customHeight="1" x14ac:dyDescent="0.35">
      <c r="A127" s="50"/>
      <c r="B127" s="53" t="s">
        <v>174</v>
      </c>
      <c r="C127" s="54" t="s">
        <v>94</v>
      </c>
      <c r="D127" s="120">
        <f t="shared" ref="D127:P127" si="83">D72</f>
        <v>100</v>
      </c>
      <c r="E127" s="120">
        <f t="shared" si="83"/>
        <v>100</v>
      </c>
      <c r="F127" s="120">
        <f t="shared" si="83"/>
        <v>100</v>
      </c>
      <c r="G127" s="120">
        <f t="shared" si="83"/>
        <v>110.00000000000001</v>
      </c>
      <c r="H127" s="120">
        <f t="shared" si="83"/>
        <v>121.00000000000003</v>
      </c>
      <c r="I127" s="120">
        <f t="shared" si="83"/>
        <v>133.10000000000005</v>
      </c>
      <c r="J127" s="120">
        <f t="shared" si="83"/>
        <v>146.41000000000008</v>
      </c>
      <c r="K127" s="120">
        <f t="shared" si="83"/>
        <v>161.0510000000001</v>
      </c>
      <c r="L127" s="120">
        <f t="shared" si="83"/>
        <v>177.15610000000012</v>
      </c>
      <c r="M127" s="120">
        <f t="shared" si="83"/>
        <v>194.87171000000015</v>
      </c>
      <c r="N127" s="120">
        <f t="shared" si="83"/>
        <v>214.3588810000002</v>
      </c>
      <c r="O127" s="120">
        <f t="shared" si="83"/>
        <v>235.79476910000022</v>
      </c>
      <c r="P127" s="124">
        <f t="shared" si="83"/>
        <v>259.37424601000026</v>
      </c>
      <c r="Q127" s="50"/>
      <c r="R127" s="50"/>
      <c r="S127" s="50"/>
      <c r="T127" s="50"/>
      <c r="U127" s="50"/>
      <c r="V127" s="50"/>
      <c r="W127" s="50"/>
      <c r="X127" s="50"/>
      <c r="Y127" s="50"/>
      <c r="Z127" s="50"/>
    </row>
    <row r="128" spans="1:26" ht="15.75" customHeight="1" x14ac:dyDescent="0.35">
      <c r="A128" s="50"/>
      <c r="B128" s="53" t="s">
        <v>175</v>
      </c>
      <c r="C128" s="54" t="s">
        <v>94</v>
      </c>
      <c r="D128" s="120">
        <f t="shared" ref="D128:P128" si="84">D73</f>
        <v>100</v>
      </c>
      <c r="E128" s="120">
        <f t="shared" si="84"/>
        <v>100</v>
      </c>
      <c r="F128" s="120">
        <f t="shared" si="84"/>
        <v>100</v>
      </c>
      <c r="G128" s="120">
        <f t="shared" si="84"/>
        <v>110.00000000000001</v>
      </c>
      <c r="H128" s="120">
        <f t="shared" si="84"/>
        <v>121.00000000000003</v>
      </c>
      <c r="I128" s="120">
        <f t="shared" si="84"/>
        <v>133.10000000000005</v>
      </c>
      <c r="J128" s="120">
        <f t="shared" si="84"/>
        <v>146.41000000000008</v>
      </c>
      <c r="K128" s="120">
        <f t="shared" si="84"/>
        <v>161.0510000000001</v>
      </c>
      <c r="L128" s="120">
        <f t="shared" si="84"/>
        <v>177.15610000000012</v>
      </c>
      <c r="M128" s="120">
        <f t="shared" si="84"/>
        <v>194.87171000000015</v>
      </c>
      <c r="N128" s="120">
        <f t="shared" si="84"/>
        <v>214.3588810000002</v>
      </c>
      <c r="O128" s="120">
        <f t="shared" si="84"/>
        <v>235.79476910000022</v>
      </c>
      <c r="P128" s="124">
        <f t="shared" si="84"/>
        <v>259.37424601000026</v>
      </c>
      <c r="Q128" s="50"/>
      <c r="R128" s="50"/>
      <c r="S128" s="50"/>
      <c r="T128" s="50"/>
      <c r="U128" s="50"/>
      <c r="V128" s="50"/>
      <c r="W128" s="50"/>
      <c r="X128" s="50"/>
      <c r="Y128" s="50"/>
      <c r="Z128" s="50"/>
    </row>
    <row r="129" spans="1:26" ht="15.75" customHeight="1" x14ac:dyDescent="0.35">
      <c r="A129" s="50"/>
      <c r="B129" s="53" t="s">
        <v>176</v>
      </c>
      <c r="C129" s="54" t="s">
        <v>94</v>
      </c>
      <c r="D129" s="120">
        <f t="shared" ref="D129:P129" si="85">D74</f>
        <v>100</v>
      </c>
      <c r="E129" s="120">
        <f t="shared" si="85"/>
        <v>100</v>
      </c>
      <c r="F129" s="120">
        <f t="shared" si="85"/>
        <v>100</v>
      </c>
      <c r="G129" s="120">
        <f t="shared" si="85"/>
        <v>110.00000000000001</v>
      </c>
      <c r="H129" s="120">
        <f t="shared" si="85"/>
        <v>121.00000000000003</v>
      </c>
      <c r="I129" s="120">
        <f t="shared" si="85"/>
        <v>133.10000000000005</v>
      </c>
      <c r="J129" s="120">
        <f t="shared" si="85"/>
        <v>146.41000000000008</v>
      </c>
      <c r="K129" s="120">
        <f t="shared" si="85"/>
        <v>161.0510000000001</v>
      </c>
      <c r="L129" s="120">
        <f t="shared" si="85"/>
        <v>177.15610000000012</v>
      </c>
      <c r="M129" s="120">
        <f t="shared" si="85"/>
        <v>194.87171000000015</v>
      </c>
      <c r="N129" s="120">
        <f t="shared" si="85"/>
        <v>214.3588810000002</v>
      </c>
      <c r="O129" s="120">
        <f t="shared" si="85"/>
        <v>235.79476910000022</v>
      </c>
      <c r="P129" s="124">
        <f t="shared" si="85"/>
        <v>259.37424601000026</v>
      </c>
      <c r="Q129" s="50"/>
      <c r="R129" s="50"/>
      <c r="S129" s="50"/>
      <c r="T129" s="50"/>
      <c r="U129" s="50"/>
      <c r="V129" s="50"/>
      <c r="W129" s="50"/>
      <c r="X129" s="50"/>
      <c r="Y129" s="50"/>
      <c r="Z129" s="50"/>
    </row>
    <row r="130" spans="1:26" ht="15.75" customHeight="1" x14ac:dyDescent="0.35">
      <c r="A130" s="237"/>
      <c r="B130" s="238" t="s">
        <v>65</v>
      </c>
      <c r="C130" s="239"/>
      <c r="D130" s="240">
        <f t="shared" ref="D130:P130" si="86">SUM(D119:D129)</f>
        <v>1100</v>
      </c>
      <c r="E130" s="240">
        <f t="shared" si="86"/>
        <v>1100</v>
      </c>
      <c r="F130" s="240">
        <f t="shared" si="86"/>
        <v>1100</v>
      </c>
      <c r="G130" s="240">
        <f t="shared" si="86"/>
        <v>1210.0000000000002</v>
      </c>
      <c r="H130" s="240">
        <f t="shared" si="86"/>
        <v>1331.0000000000002</v>
      </c>
      <c r="I130" s="240">
        <f t="shared" si="86"/>
        <v>1464.1000000000008</v>
      </c>
      <c r="J130" s="240">
        <f t="shared" si="86"/>
        <v>1610.5100000000009</v>
      </c>
      <c r="K130" s="240">
        <f t="shared" si="86"/>
        <v>1771.5610000000015</v>
      </c>
      <c r="L130" s="240">
        <f t="shared" si="86"/>
        <v>1948.7171000000014</v>
      </c>
      <c r="M130" s="240">
        <f t="shared" si="86"/>
        <v>2143.5888100000016</v>
      </c>
      <c r="N130" s="240">
        <f t="shared" si="86"/>
        <v>2357.9476910000017</v>
      </c>
      <c r="O130" s="240">
        <f t="shared" si="86"/>
        <v>2593.7424601000025</v>
      </c>
      <c r="P130" s="241">
        <f t="shared" si="86"/>
        <v>2853.1167061100027</v>
      </c>
      <c r="Q130" s="237"/>
      <c r="R130" s="237"/>
      <c r="S130" s="237"/>
      <c r="T130" s="237"/>
      <c r="U130" s="237"/>
      <c r="V130" s="237"/>
      <c r="W130" s="237"/>
      <c r="X130" s="237"/>
      <c r="Y130" s="237"/>
      <c r="Z130" s="237"/>
    </row>
    <row r="131" spans="1:26" ht="15.75" customHeight="1" x14ac:dyDescent="0.35">
      <c r="A131" s="50"/>
      <c r="B131" s="46" t="s">
        <v>281</v>
      </c>
      <c r="C131" s="47"/>
      <c r="D131" s="120"/>
      <c r="E131" s="120"/>
      <c r="F131" s="120"/>
      <c r="G131" s="120"/>
      <c r="H131" s="120"/>
      <c r="I131" s="120"/>
      <c r="J131" s="120"/>
      <c r="K131" s="120"/>
      <c r="L131" s="120"/>
      <c r="M131" s="120"/>
      <c r="N131" s="50"/>
      <c r="O131" s="50"/>
      <c r="P131" s="115"/>
      <c r="Q131" s="50"/>
      <c r="R131" s="50"/>
      <c r="S131" s="50"/>
      <c r="T131" s="50"/>
      <c r="U131" s="50"/>
      <c r="V131" s="50"/>
      <c r="W131" s="50"/>
      <c r="X131" s="50"/>
      <c r="Y131" s="50"/>
      <c r="Z131" s="50"/>
    </row>
    <row r="132" spans="1:26" ht="15.75" customHeight="1" x14ac:dyDescent="0.35">
      <c r="A132" s="50"/>
      <c r="B132" s="53" t="s">
        <v>165</v>
      </c>
      <c r="C132" s="54" t="s">
        <v>94</v>
      </c>
      <c r="D132" s="255">
        <f t="shared" ref="D132:P132" si="87">$D$26</f>
        <v>0.25</v>
      </c>
      <c r="E132" s="255">
        <f t="shared" si="87"/>
        <v>0.25</v>
      </c>
      <c r="F132" s="255">
        <f t="shared" si="87"/>
        <v>0.25</v>
      </c>
      <c r="G132" s="255">
        <f t="shared" si="87"/>
        <v>0.25</v>
      </c>
      <c r="H132" s="255">
        <f t="shared" si="87"/>
        <v>0.25</v>
      </c>
      <c r="I132" s="255">
        <f t="shared" si="87"/>
        <v>0.25</v>
      </c>
      <c r="J132" s="255">
        <f t="shared" si="87"/>
        <v>0.25</v>
      </c>
      <c r="K132" s="255">
        <f t="shared" si="87"/>
        <v>0.25</v>
      </c>
      <c r="L132" s="255">
        <f t="shared" si="87"/>
        <v>0.25</v>
      </c>
      <c r="M132" s="255">
        <f t="shared" si="87"/>
        <v>0.25</v>
      </c>
      <c r="N132" s="255">
        <f t="shared" si="87"/>
        <v>0.25</v>
      </c>
      <c r="O132" s="255">
        <f t="shared" si="87"/>
        <v>0.25</v>
      </c>
      <c r="P132" s="256">
        <f t="shared" si="87"/>
        <v>0.25</v>
      </c>
      <c r="Q132" s="50"/>
      <c r="R132" s="50"/>
      <c r="S132" s="50"/>
      <c r="T132" s="50"/>
      <c r="U132" s="50"/>
      <c r="V132" s="50"/>
      <c r="W132" s="50"/>
      <c r="X132" s="50"/>
      <c r="Y132" s="50"/>
      <c r="Z132" s="50"/>
    </row>
    <row r="133" spans="1:26" ht="15.75" customHeight="1" x14ac:dyDescent="0.35">
      <c r="A133" s="50"/>
      <c r="B133" s="53" t="s">
        <v>166</v>
      </c>
      <c r="C133" s="54" t="s">
        <v>94</v>
      </c>
      <c r="D133" s="255">
        <f t="shared" ref="D133:P133" si="88">$D$26</f>
        <v>0.25</v>
      </c>
      <c r="E133" s="255">
        <f t="shared" si="88"/>
        <v>0.25</v>
      </c>
      <c r="F133" s="255">
        <f t="shared" si="88"/>
        <v>0.25</v>
      </c>
      <c r="G133" s="255">
        <f t="shared" si="88"/>
        <v>0.25</v>
      </c>
      <c r="H133" s="255">
        <f t="shared" si="88"/>
        <v>0.25</v>
      </c>
      <c r="I133" s="255">
        <f t="shared" si="88"/>
        <v>0.25</v>
      </c>
      <c r="J133" s="255">
        <f t="shared" si="88"/>
        <v>0.25</v>
      </c>
      <c r="K133" s="255">
        <f t="shared" si="88"/>
        <v>0.25</v>
      </c>
      <c r="L133" s="255">
        <f t="shared" si="88"/>
        <v>0.25</v>
      </c>
      <c r="M133" s="255">
        <f t="shared" si="88"/>
        <v>0.25</v>
      </c>
      <c r="N133" s="255">
        <f t="shared" si="88"/>
        <v>0.25</v>
      </c>
      <c r="O133" s="255">
        <f t="shared" si="88"/>
        <v>0.25</v>
      </c>
      <c r="P133" s="256">
        <f t="shared" si="88"/>
        <v>0.25</v>
      </c>
      <c r="Q133" s="50"/>
      <c r="R133" s="50"/>
      <c r="S133" s="50"/>
      <c r="T133" s="50"/>
      <c r="U133" s="50"/>
      <c r="V133" s="50"/>
      <c r="W133" s="50"/>
      <c r="X133" s="50"/>
      <c r="Y133" s="50"/>
      <c r="Z133" s="50"/>
    </row>
    <row r="134" spans="1:26" ht="15.75" customHeight="1" x14ac:dyDescent="0.35">
      <c r="A134" s="50"/>
      <c r="B134" s="53" t="s">
        <v>167</v>
      </c>
      <c r="C134" s="54" t="s">
        <v>94</v>
      </c>
      <c r="D134" s="255">
        <f t="shared" ref="D134:P134" si="89">$D$26</f>
        <v>0.25</v>
      </c>
      <c r="E134" s="255">
        <f t="shared" si="89"/>
        <v>0.25</v>
      </c>
      <c r="F134" s="255">
        <f t="shared" si="89"/>
        <v>0.25</v>
      </c>
      <c r="G134" s="255">
        <f t="shared" si="89"/>
        <v>0.25</v>
      </c>
      <c r="H134" s="255">
        <f t="shared" si="89"/>
        <v>0.25</v>
      </c>
      <c r="I134" s="255">
        <f t="shared" si="89"/>
        <v>0.25</v>
      </c>
      <c r="J134" s="255">
        <f t="shared" si="89"/>
        <v>0.25</v>
      </c>
      <c r="K134" s="255">
        <f t="shared" si="89"/>
        <v>0.25</v>
      </c>
      <c r="L134" s="255">
        <f t="shared" si="89"/>
        <v>0.25</v>
      </c>
      <c r="M134" s="255">
        <f t="shared" si="89"/>
        <v>0.25</v>
      </c>
      <c r="N134" s="255">
        <f t="shared" si="89"/>
        <v>0.25</v>
      </c>
      <c r="O134" s="255">
        <f t="shared" si="89"/>
        <v>0.25</v>
      </c>
      <c r="P134" s="256">
        <f t="shared" si="89"/>
        <v>0.25</v>
      </c>
      <c r="Q134" s="50"/>
      <c r="R134" s="50"/>
      <c r="S134" s="50"/>
      <c r="T134" s="50"/>
      <c r="U134" s="50"/>
      <c r="V134" s="50"/>
      <c r="W134" s="50"/>
      <c r="X134" s="50"/>
      <c r="Y134" s="50"/>
      <c r="Z134" s="50"/>
    </row>
    <row r="135" spans="1:26" ht="15.75" customHeight="1" x14ac:dyDescent="0.35">
      <c r="A135" s="50"/>
      <c r="B135" s="53" t="s">
        <v>169</v>
      </c>
      <c r="C135" s="54" t="s">
        <v>94</v>
      </c>
      <c r="D135" s="255">
        <f t="shared" ref="D135:P135" si="90">$D$26</f>
        <v>0.25</v>
      </c>
      <c r="E135" s="255">
        <f t="shared" si="90"/>
        <v>0.25</v>
      </c>
      <c r="F135" s="255">
        <f t="shared" si="90"/>
        <v>0.25</v>
      </c>
      <c r="G135" s="255">
        <f t="shared" si="90"/>
        <v>0.25</v>
      </c>
      <c r="H135" s="255">
        <f t="shared" si="90"/>
        <v>0.25</v>
      </c>
      <c r="I135" s="255">
        <f t="shared" si="90"/>
        <v>0.25</v>
      </c>
      <c r="J135" s="255">
        <f t="shared" si="90"/>
        <v>0.25</v>
      </c>
      <c r="K135" s="255">
        <f t="shared" si="90"/>
        <v>0.25</v>
      </c>
      <c r="L135" s="255">
        <f t="shared" si="90"/>
        <v>0.25</v>
      </c>
      <c r="M135" s="255">
        <f t="shared" si="90"/>
        <v>0.25</v>
      </c>
      <c r="N135" s="255">
        <f t="shared" si="90"/>
        <v>0.25</v>
      </c>
      <c r="O135" s="255">
        <f t="shared" si="90"/>
        <v>0.25</v>
      </c>
      <c r="P135" s="256">
        <f t="shared" si="90"/>
        <v>0.25</v>
      </c>
      <c r="Q135" s="50"/>
      <c r="R135" s="50"/>
      <c r="S135" s="50"/>
      <c r="T135" s="50"/>
      <c r="U135" s="50"/>
      <c r="V135" s="50"/>
      <c r="W135" s="50"/>
      <c r="X135" s="50"/>
      <c r="Y135" s="50"/>
      <c r="Z135" s="50"/>
    </row>
    <row r="136" spans="1:26" ht="15.75" customHeight="1" x14ac:dyDescent="0.35">
      <c r="A136" s="50"/>
      <c r="B136" s="53" t="s">
        <v>170</v>
      </c>
      <c r="C136" s="54" t="s">
        <v>94</v>
      </c>
      <c r="D136" s="255">
        <f t="shared" ref="D136:P136" si="91">$D$26</f>
        <v>0.25</v>
      </c>
      <c r="E136" s="255">
        <f t="shared" si="91"/>
        <v>0.25</v>
      </c>
      <c r="F136" s="255">
        <f t="shared" si="91"/>
        <v>0.25</v>
      </c>
      <c r="G136" s="255">
        <f t="shared" si="91"/>
        <v>0.25</v>
      </c>
      <c r="H136" s="255">
        <f t="shared" si="91"/>
        <v>0.25</v>
      </c>
      <c r="I136" s="255">
        <f t="shared" si="91"/>
        <v>0.25</v>
      </c>
      <c r="J136" s="255">
        <f t="shared" si="91"/>
        <v>0.25</v>
      </c>
      <c r="K136" s="255">
        <f t="shared" si="91"/>
        <v>0.25</v>
      </c>
      <c r="L136" s="255">
        <f t="shared" si="91"/>
        <v>0.25</v>
      </c>
      <c r="M136" s="255">
        <f t="shared" si="91"/>
        <v>0.25</v>
      </c>
      <c r="N136" s="255">
        <f t="shared" si="91"/>
        <v>0.25</v>
      </c>
      <c r="O136" s="255">
        <f t="shared" si="91"/>
        <v>0.25</v>
      </c>
      <c r="P136" s="256">
        <f t="shared" si="91"/>
        <v>0.25</v>
      </c>
      <c r="Q136" s="50"/>
      <c r="R136" s="50"/>
      <c r="S136" s="50"/>
      <c r="T136" s="50"/>
      <c r="U136" s="50"/>
      <c r="V136" s="50"/>
      <c r="W136" s="50"/>
      <c r="X136" s="50"/>
      <c r="Y136" s="50"/>
      <c r="Z136" s="50"/>
    </row>
    <row r="137" spans="1:26" ht="15.75" customHeight="1" x14ac:dyDescent="0.35">
      <c r="A137" s="50"/>
      <c r="B137" s="53" t="s">
        <v>171</v>
      </c>
      <c r="C137" s="54" t="s">
        <v>94</v>
      </c>
      <c r="D137" s="255">
        <f t="shared" ref="D137:P137" si="92">$D$26</f>
        <v>0.25</v>
      </c>
      <c r="E137" s="255">
        <f t="shared" si="92"/>
        <v>0.25</v>
      </c>
      <c r="F137" s="255">
        <f t="shared" si="92"/>
        <v>0.25</v>
      </c>
      <c r="G137" s="255">
        <f t="shared" si="92"/>
        <v>0.25</v>
      </c>
      <c r="H137" s="255">
        <f t="shared" si="92"/>
        <v>0.25</v>
      </c>
      <c r="I137" s="255">
        <f t="shared" si="92"/>
        <v>0.25</v>
      </c>
      <c r="J137" s="255">
        <f t="shared" si="92"/>
        <v>0.25</v>
      </c>
      <c r="K137" s="255">
        <f t="shared" si="92"/>
        <v>0.25</v>
      </c>
      <c r="L137" s="255">
        <f t="shared" si="92"/>
        <v>0.25</v>
      </c>
      <c r="M137" s="255">
        <f t="shared" si="92"/>
        <v>0.25</v>
      </c>
      <c r="N137" s="255">
        <f t="shared" si="92"/>
        <v>0.25</v>
      </c>
      <c r="O137" s="255">
        <f t="shared" si="92"/>
        <v>0.25</v>
      </c>
      <c r="P137" s="256">
        <f t="shared" si="92"/>
        <v>0.25</v>
      </c>
      <c r="Q137" s="50"/>
      <c r="R137" s="50"/>
      <c r="S137" s="50"/>
      <c r="T137" s="50"/>
      <c r="U137" s="50"/>
      <c r="V137" s="50"/>
      <c r="W137" s="50"/>
      <c r="X137" s="50"/>
      <c r="Y137" s="50"/>
      <c r="Z137" s="50"/>
    </row>
    <row r="138" spans="1:26" ht="15.75" customHeight="1" x14ac:dyDescent="0.35">
      <c r="A138" s="50"/>
      <c r="B138" s="53" t="s">
        <v>172</v>
      </c>
      <c r="C138" s="54" t="s">
        <v>94</v>
      </c>
      <c r="D138" s="255">
        <f t="shared" ref="D138:P138" si="93">$D$26</f>
        <v>0.25</v>
      </c>
      <c r="E138" s="255">
        <f t="shared" si="93"/>
        <v>0.25</v>
      </c>
      <c r="F138" s="255">
        <f t="shared" si="93"/>
        <v>0.25</v>
      </c>
      <c r="G138" s="255">
        <f t="shared" si="93"/>
        <v>0.25</v>
      </c>
      <c r="H138" s="255">
        <f t="shared" si="93"/>
        <v>0.25</v>
      </c>
      <c r="I138" s="255">
        <f t="shared" si="93"/>
        <v>0.25</v>
      </c>
      <c r="J138" s="255">
        <f t="shared" si="93"/>
        <v>0.25</v>
      </c>
      <c r="K138" s="255">
        <f t="shared" si="93"/>
        <v>0.25</v>
      </c>
      <c r="L138" s="255">
        <f t="shared" si="93"/>
        <v>0.25</v>
      </c>
      <c r="M138" s="255">
        <f t="shared" si="93"/>
        <v>0.25</v>
      </c>
      <c r="N138" s="255">
        <f t="shared" si="93"/>
        <v>0.25</v>
      </c>
      <c r="O138" s="255">
        <f t="shared" si="93"/>
        <v>0.25</v>
      </c>
      <c r="P138" s="256">
        <f t="shared" si="93"/>
        <v>0.25</v>
      </c>
      <c r="Q138" s="50"/>
      <c r="R138" s="50"/>
      <c r="S138" s="50"/>
      <c r="T138" s="50"/>
      <c r="U138" s="50"/>
      <c r="V138" s="50"/>
      <c r="W138" s="50"/>
      <c r="X138" s="50"/>
      <c r="Y138" s="50"/>
      <c r="Z138" s="50"/>
    </row>
    <row r="139" spans="1:26" ht="15.75" customHeight="1" x14ac:dyDescent="0.35">
      <c r="A139" s="50"/>
      <c r="B139" s="53" t="s">
        <v>173</v>
      </c>
      <c r="C139" s="54" t="s">
        <v>94</v>
      </c>
      <c r="D139" s="255">
        <f t="shared" ref="D139:P139" si="94">$D$26</f>
        <v>0.25</v>
      </c>
      <c r="E139" s="255">
        <f t="shared" si="94"/>
        <v>0.25</v>
      </c>
      <c r="F139" s="255">
        <f t="shared" si="94"/>
        <v>0.25</v>
      </c>
      <c r="G139" s="255">
        <f t="shared" si="94"/>
        <v>0.25</v>
      </c>
      <c r="H139" s="255">
        <f t="shared" si="94"/>
        <v>0.25</v>
      </c>
      <c r="I139" s="255">
        <f t="shared" si="94"/>
        <v>0.25</v>
      </c>
      <c r="J139" s="255">
        <f t="shared" si="94"/>
        <v>0.25</v>
      </c>
      <c r="K139" s="255">
        <f t="shared" si="94"/>
        <v>0.25</v>
      </c>
      <c r="L139" s="255">
        <f t="shared" si="94"/>
        <v>0.25</v>
      </c>
      <c r="M139" s="255">
        <f t="shared" si="94"/>
        <v>0.25</v>
      </c>
      <c r="N139" s="255">
        <f t="shared" si="94"/>
        <v>0.25</v>
      </c>
      <c r="O139" s="255">
        <f t="shared" si="94"/>
        <v>0.25</v>
      </c>
      <c r="P139" s="256">
        <f t="shared" si="94"/>
        <v>0.25</v>
      </c>
      <c r="Q139" s="50"/>
      <c r="R139" s="50"/>
      <c r="S139" s="50"/>
      <c r="T139" s="50"/>
      <c r="U139" s="50"/>
      <c r="V139" s="50"/>
      <c r="W139" s="50"/>
      <c r="X139" s="50"/>
      <c r="Y139" s="50"/>
      <c r="Z139" s="50"/>
    </row>
    <row r="140" spans="1:26" ht="15.75" customHeight="1" x14ac:dyDescent="0.35">
      <c r="A140" s="50"/>
      <c r="B140" s="53" t="s">
        <v>174</v>
      </c>
      <c r="C140" s="54" t="s">
        <v>94</v>
      </c>
      <c r="D140" s="255">
        <f t="shared" ref="D140:P140" si="95">$D$26</f>
        <v>0.25</v>
      </c>
      <c r="E140" s="255">
        <f t="shared" si="95"/>
        <v>0.25</v>
      </c>
      <c r="F140" s="255">
        <f t="shared" si="95"/>
        <v>0.25</v>
      </c>
      <c r="G140" s="255">
        <f t="shared" si="95"/>
        <v>0.25</v>
      </c>
      <c r="H140" s="255">
        <f t="shared" si="95"/>
        <v>0.25</v>
      </c>
      <c r="I140" s="255">
        <f t="shared" si="95"/>
        <v>0.25</v>
      </c>
      <c r="J140" s="255">
        <f t="shared" si="95"/>
        <v>0.25</v>
      </c>
      <c r="K140" s="255">
        <f t="shared" si="95"/>
        <v>0.25</v>
      </c>
      <c r="L140" s="255">
        <f t="shared" si="95"/>
        <v>0.25</v>
      </c>
      <c r="M140" s="255">
        <f t="shared" si="95"/>
        <v>0.25</v>
      </c>
      <c r="N140" s="255">
        <f t="shared" si="95"/>
        <v>0.25</v>
      </c>
      <c r="O140" s="255">
        <f t="shared" si="95"/>
        <v>0.25</v>
      </c>
      <c r="P140" s="256">
        <f t="shared" si="95"/>
        <v>0.25</v>
      </c>
      <c r="Q140" s="50"/>
      <c r="R140" s="50"/>
      <c r="S140" s="50"/>
      <c r="T140" s="50"/>
      <c r="U140" s="50"/>
      <c r="V140" s="50"/>
      <c r="W140" s="50"/>
      <c r="X140" s="50"/>
      <c r="Y140" s="50"/>
      <c r="Z140" s="50"/>
    </row>
    <row r="141" spans="1:26" ht="15.75" customHeight="1" x14ac:dyDescent="0.35">
      <c r="A141" s="50"/>
      <c r="B141" s="53" t="s">
        <v>175</v>
      </c>
      <c r="C141" s="54" t="s">
        <v>94</v>
      </c>
      <c r="D141" s="255">
        <f t="shared" ref="D141:P141" si="96">$D$26</f>
        <v>0.25</v>
      </c>
      <c r="E141" s="255">
        <f t="shared" si="96"/>
        <v>0.25</v>
      </c>
      <c r="F141" s="255">
        <f t="shared" si="96"/>
        <v>0.25</v>
      </c>
      <c r="G141" s="255">
        <f t="shared" si="96"/>
        <v>0.25</v>
      </c>
      <c r="H141" s="255">
        <f t="shared" si="96"/>
        <v>0.25</v>
      </c>
      <c r="I141" s="255">
        <f t="shared" si="96"/>
        <v>0.25</v>
      </c>
      <c r="J141" s="255">
        <f t="shared" si="96"/>
        <v>0.25</v>
      </c>
      <c r="K141" s="255">
        <f t="shared" si="96"/>
        <v>0.25</v>
      </c>
      <c r="L141" s="255">
        <f t="shared" si="96"/>
        <v>0.25</v>
      </c>
      <c r="M141" s="255">
        <f t="shared" si="96"/>
        <v>0.25</v>
      </c>
      <c r="N141" s="255">
        <f t="shared" si="96"/>
        <v>0.25</v>
      </c>
      <c r="O141" s="255">
        <f t="shared" si="96"/>
        <v>0.25</v>
      </c>
      <c r="P141" s="256">
        <f t="shared" si="96"/>
        <v>0.25</v>
      </c>
      <c r="Q141" s="50"/>
      <c r="R141" s="50"/>
      <c r="S141" s="50"/>
      <c r="T141" s="50"/>
      <c r="U141" s="50"/>
      <c r="V141" s="50"/>
      <c r="W141" s="50"/>
      <c r="X141" s="50"/>
      <c r="Y141" s="50"/>
      <c r="Z141" s="50"/>
    </row>
    <row r="142" spans="1:26" ht="15.75" customHeight="1" x14ac:dyDescent="0.35">
      <c r="A142" s="50"/>
      <c r="B142" s="53" t="s">
        <v>176</v>
      </c>
      <c r="C142" s="54" t="s">
        <v>94</v>
      </c>
      <c r="D142" s="255">
        <f t="shared" ref="D142:P142" si="97">$D$26</f>
        <v>0.25</v>
      </c>
      <c r="E142" s="255">
        <f t="shared" si="97"/>
        <v>0.25</v>
      </c>
      <c r="F142" s="255">
        <f t="shared" si="97"/>
        <v>0.25</v>
      </c>
      <c r="G142" s="255">
        <f t="shared" si="97"/>
        <v>0.25</v>
      </c>
      <c r="H142" s="255">
        <f t="shared" si="97"/>
        <v>0.25</v>
      </c>
      <c r="I142" s="255">
        <f t="shared" si="97"/>
        <v>0.25</v>
      </c>
      <c r="J142" s="255">
        <f t="shared" si="97"/>
        <v>0.25</v>
      </c>
      <c r="K142" s="255">
        <f t="shared" si="97"/>
        <v>0.25</v>
      </c>
      <c r="L142" s="255">
        <f t="shared" si="97"/>
        <v>0.25</v>
      </c>
      <c r="M142" s="255">
        <f t="shared" si="97"/>
        <v>0.25</v>
      </c>
      <c r="N142" s="255">
        <f t="shared" si="97"/>
        <v>0.25</v>
      </c>
      <c r="O142" s="255">
        <f t="shared" si="97"/>
        <v>0.25</v>
      </c>
      <c r="P142" s="256">
        <f t="shared" si="97"/>
        <v>0.25</v>
      </c>
      <c r="Q142" s="50"/>
      <c r="R142" s="50"/>
      <c r="S142" s="50"/>
      <c r="T142" s="50"/>
      <c r="U142" s="50"/>
      <c r="V142" s="50"/>
      <c r="W142" s="50"/>
      <c r="X142" s="50"/>
      <c r="Y142" s="50"/>
      <c r="Z142" s="50"/>
    </row>
    <row r="143" spans="1:26" ht="15.75" customHeight="1" x14ac:dyDescent="0.35">
      <c r="A143" s="50"/>
      <c r="B143" s="46" t="s">
        <v>315</v>
      </c>
      <c r="C143" s="194"/>
      <c r="D143" s="245"/>
      <c r="E143" s="245"/>
      <c r="F143" s="245"/>
      <c r="G143" s="245"/>
      <c r="H143" s="245"/>
      <c r="I143" s="245"/>
      <c r="J143" s="245"/>
      <c r="K143" s="245"/>
      <c r="L143" s="245"/>
      <c r="M143" s="245"/>
      <c r="N143" s="245"/>
      <c r="O143" s="245"/>
      <c r="P143" s="250"/>
      <c r="Q143" s="50"/>
      <c r="R143" s="50"/>
      <c r="S143" s="50"/>
      <c r="T143" s="50"/>
      <c r="U143" s="50"/>
      <c r="V143" s="50"/>
      <c r="W143" s="50"/>
      <c r="X143" s="50"/>
      <c r="Y143" s="50"/>
      <c r="Z143" s="50"/>
    </row>
    <row r="144" spans="1:26" ht="15.75" customHeight="1" x14ac:dyDescent="0.35">
      <c r="A144" s="50"/>
      <c r="B144" s="53" t="s">
        <v>165</v>
      </c>
      <c r="C144" s="47"/>
      <c r="D144" s="121">
        <f t="shared" ref="D144:P144" si="98">D119*D132</f>
        <v>25</v>
      </c>
      <c r="E144" s="121">
        <f t="shared" si="98"/>
        <v>25</v>
      </c>
      <c r="F144" s="121">
        <f t="shared" si="98"/>
        <v>25</v>
      </c>
      <c r="G144" s="121">
        <f t="shared" si="98"/>
        <v>27.500000000000004</v>
      </c>
      <c r="H144" s="121">
        <f t="shared" si="98"/>
        <v>30.250000000000007</v>
      </c>
      <c r="I144" s="121">
        <f t="shared" si="98"/>
        <v>33.275000000000013</v>
      </c>
      <c r="J144" s="121">
        <f t="shared" si="98"/>
        <v>36.60250000000002</v>
      </c>
      <c r="K144" s="121">
        <f t="shared" si="98"/>
        <v>40.262750000000025</v>
      </c>
      <c r="L144" s="121">
        <f t="shared" si="98"/>
        <v>44.289025000000031</v>
      </c>
      <c r="M144" s="121">
        <f t="shared" si="98"/>
        <v>48.717927500000037</v>
      </c>
      <c r="N144" s="121">
        <f t="shared" si="98"/>
        <v>53.589720250000049</v>
      </c>
      <c r="O144" s="121">
        <f t="shared" si="98"/>
        <v>58.948692275000056</v>
      </c>
      <c r="P144" s="251">
        <f t="shared" si="98"/>
        <v>64.843561502500066</v>
      </c>
      <c r="Q144" s="80"/>
      <c r="R144" s="50"/>
      <c r="S144" s="50"/>
      <c r="T144" s="50"/>
      <c r="U144" s="50"/>
      <c r="V144" s="50"/>
      <c r="W144" s="50"/>
      <c r="X144" s="50"/>
      <c r="Y144" s="50"/>
      <c r="Z144" s="50"/>
    </row>
    <row r="145" spans="1:26" ht="15.75" customHeight="1" x14ac:dyDescent="0.35">
      <c r="A145" s="50"/>
      <c r="B145" s="53" t="s">
        <v>166</v>
      </c>
      <c r="C145" s="47"/>
      <c r="D145" s="121">
        <f t="shared" ref="D145:P145" si="99">D120*D133</f>
        <v>25</v>
      </c>
      <c r="E145" s="121">
        <f t="shared" si="99"/>
        <v>25</v>
      </c>
      <c r="F145" s="121">
        <f t="shared" si="99"/>
        <v>25</v>
      </c>
      <c r="G145" s="121">
        <f t="shared" si="99"/>
        <v>27.500000000000004</v>
      </c>
      <c r="H145" s="121">
        <f t="shared" si="99"/>
        <v>30.250000000000007</v>
      </c>
      <c r="I145" s="121">
        <f t="shared" si="99"/>
        <v>33.275000000000013</v>
      </c>
      <c r="J145" s="121">
        <f t="shared" si="99"/>
        <v>36.60250000000002</v>
      </c>
      <c r="K145" s="121">
        <f t="shared" si="99"/>
        <v>40.262750000000025</v>
      </c>
      <c r="L145" s="121">
        <f t="shared" si="99"/>
        <v>44.289025000000031</v>
      </c>
      <c r="M145" s="121">
        <f t="shared" si="99"/>
        <v>48.717927500000037</v>
      </c>
      <c r="N145" s="121">
        <f t="shared" si="99"/>
        <v>53.589720250000049</v>
      </c>
      <c r="O145" s="121">
        <f t="shared" si="99"/>
        <v>58.948692275000056</v>
      </c>
      <c r="P145" s="251">
        <f t="shared" si="99"/>
        <v>64.843561502500066</v>
      </c>
      <c r="Q145" s="80"/>
      <c r="R145" s="50"/>
      <c r="S145" s="50"/>
      <c r="T145" s="50"/>
      <c r="U145" s="50"/>
      <c r="V145" s="50"/>
      <c r="W145" s="50"/>
      <c r="X145" s="50"/>
      <c r="Y145" s="50"/>
      <c r="Z145" s="50"/>
    </row>
    <row r="146" spans="1:26" ht="15.75" customHeight="1" x14ac:dyDescent="0.35">
      <c r="A146" s="50"/>
      <c r="B146" s="53" t="s">
        <v>167</v>
      </c>
      <c r="C146" s="47"/>
      <c r="D146" s="121">
        <f t="shared" ref="D146:P146" si="100">D121*D134</f>
        <v>25</v>
      </c>
      <c r="E146" s="121">
        <f t="shared" si="100"/>
        <v>25</v>
      </c>
      <c r="F146" s="121">
        <f t="shared" si="100"/>
        <v>25</v>
      </c>
      <c r="G146" s="121">
        <f t="shared" si="100"/>
        <v>27.500000000000004</v>
      </c>
      <c r="H146" s="121">
        <f t="shared" si="100"/>
        <v>30.250000000000007</v>
      </c>
      <c r="I146" s="121">
        <f t="shared" si="100"/>
        <v>33.275000000000013</v>
      </c>
      <c r="J146" s="121">
        <f t="shared" si="100"/>
        <v>36.60250000000002</v>
      </c>
      <c r="K146" s="121">
        <f t="shared" si="100"/>
        <v>40.262750000000025</v>
      </c>
      <c r="L146" s="121">
        <f t="shared" si="100"/>
        <v>44.289025000000031</v>
      </c>
      <c r="M146" s="121">
        <f t="shared" si="100"/>
        <v>48.717927500000037</v>
      </c>
      <c r="N146" s="121">
        <f t="shared" si="100"/>
        <v>53.589720250000049</v>
      </c>
      <c r="O146" s="121">
        <f t="shared" si="100"/>
        <v>58.948692275000056</v>
      </c>
      <c r="P146" s="251">
        <f t="shared" si="100"/>
        <v>64.843561502500066</v>
      </c>
      <c r="Q146" s="80"/>
      <c r="R146" s="50"/>
      <c r="S146" s="50"/>
      <c r="T146" s="50"/>
      <c r="U146" s="50"/>
      <c r="V146" s="50"/>
      <c r="W146" s="50"/>
      <c r="X146" s="50"/>
      <c r="Y146" s="50"/>
      <c r="Z146" s="50"/>
    </row>
    <row r="147" spans="1:26" ht="15.75" customHeight="1" x14ac:dyDescent="0.35">
      <c r="A147" s="50"/>
      <c r="B147" s="53" t="s">
        <v>169</v>
      </c>
      <c r="C147" s="47"/>
      <c r="D147" s="121">
        <f t="shared" ref="D147:P147" si="101">D122*D135</f>
        <v>25</v>
      </c>
      <c r="E147" s="121">
        <f t="shared" si="101"/>
        <v>25</v>
      </c>
      <c r="F147" s="121">
        <f t="shared" si="101"/>
        <v>25</v>
      </c>
      <c r="G147" s="121">
        <f t="shared" si="101"/>
        <v>27.500000000000004</v>
      </c>
      <c r="H147" s="121">
        <f t="shared" si="101"/>
        <v>30.250000000000007</v>
      </c>
      <c r="I147" s="121">
        <f t="shared" si="101"/>
        <v>33.275000000000013</v>
      </c>
      <c r="J147" s="121">
        <f t="shared" si="101"/>
        <v>36.60250000000002</v>
      </c>
      <c r="K147" s="121">
        <f t="shared" si="101"/>
        <v>40.262750000000025</v>
      </c>
      <c r="L147" s="121">
        <f t="shared" si="101"/>
        <v>44.289025000000031</v>
      </c>
      <c r="M147" s="121">
        <f t="shared" si="101"/>
        <v>48.717927500000037</v>
      </c>
      <c r="N147" s="121">
        <f t="shared" si="101"/>
        <v>53.589720250000049</v>
      </c>
      <c r="O147" s="121">
        <f t="shared" si="101"/>
        <v>58.948692275000056</v>
      </c>
      <c r="P147" s="251">
        <f t="shared" si="101"/>
        <v>64.843561502500066</v>
      </c>
      <c r="Q147" s="80"/>
      <c r="R147" s="50"/>
      <c r="S147" s="50"/>
      <c r="T147" s="50"/>
      <c r="U147" s="50"/>
      <c r="V147" s="50"/>
      <c r="W147" s="50"/>
      <c r="X147" s="50"/>
      <c r="Y147" s="50"/>
      <c r="Z147" s="50"/>
    </row>
    <row r="148" spans="1:26" ht="15.75" customHeight="1" x14ac:dyDescent="0.35">
      <c r="A148" s="50"/>
      <c r="B148" s="53" t="s">
        <v>170</v>
      </c>
      <c r="C148" s="47"/>
      <c r="D148" s="121">
        <f t="shared" ref="D148:P148" si="102">D123*D136</f>
        <v>25</v>
      </c>
      <c r="E148" s="121">
        <f t="shared" si="102"/>
        <v>25</v>
      </c>
      <c r="F148" s="121">
        <f t="shared" si="102"/>
        <v>25</v>
      </c>
      <c r="G148" s="121">
        <f t="shared" si="102"/>
        <v>27.500000000000004</v>
      </c>
      <c r="H148" s="121">
        <f t="shared" si="102"/>
        <v>30.250000000000007</v>
      </c>
      <c r="I148" s="121">
        <f t="shared" si="102"/>
        <v>33.275000000000013</v>
      </c>
      <c r="J148" s="121">
        <f t="shared" si="102"/>
        <v>36.60250000000002</v>
      </c>
      <c r="K148" s="121">
        <f t="shared" si="102"/>
        <v>40.262750000000025</v>
      </c>
      <c r="L148" s="121">
        <f t="shared" si="102"/>
        <v>44.289025000000031</v>
      </c>
      <c r="M148" s="121">
        <f t="shared" si="102"/>
        <v>48.717927500000037</v>
      </c>
      <c r="N148" s="121">
        <f t="shared" si="102"/>
        <v>53.589720250000049</v>
      </c>
      <c r="O148" s="121">
        <f t="shared" si="102"/>
        <v>58.948692275000056</v>
      </c>
      <c r="P148" s="251">
        <f t="shared" si="102"/>
        <v>64.843561502500066</v>
      </c>
      <c r="Q148" s="80"/>
      <c r="R148" s="50"/>
      <c r="S148" s="50"/>
      <c r="T148" s="50"/>
      <c r="U148" s="50"/>
      <c r="V148" s="50"/>
      <c r="W148" s="50"/>
      <c r="X148" s="50"/>
      <c r="Y148" s="50"/>
      <c r="Z148" s="50"/>
    </row>
    <row r="149" spans="1:26" ht="15.75" customHeight="1" x14ac:dyDescent="0.35">
      <c r="A149" s="50"/>
      <c r="B149" s="53" t="s">
        <v>171</v>
      </c>
      <c r="C149" s="47"/>
      <c r="D149" s="121">
        <f t="shared" ref="D149:P149" si="103">D124*D137</f>
        <v>25</v>
      </c>
      <c r="E149" s="121">
        <f t="shared" si="103"/>
        <v>25</v>
      </c>
      <c r="F149" s="121">
        <f t="shared" si="103"/>
        <v>25</v>
      </c>
      <c r="G149" s="121">
        <f t="shared" si="103"/>
        <v>27.500000000000004</v>
      </c>
      <c r="H149" s="121">
        <f t="shared" si="103"/>
        <v>30.250000000000007</v>
      </c>
      <c r="I149" s="121">
        <f t="shared" si="103"/>
        <v>33.275000000000013</v>
      </c>
      <c r="J149" s="121">
        <f t="shared" si="103"/>
        <v>36.60250000000002</v>
      </c>
      <c r="K149" s="121">
        <f t="shared" si="103"/>
        <v>40.262750000000025</v>
      </c>
      <c r="L149" s="121">
        <f t="shared" si="103"/>
        <v>44.289025000000031</v>
      </c>
      <c r="M149" s="121">
        <f t="shared" si="103"/>
        <v>48.717927500000037</v>
      </c>
      <c r="N149" s="121">
        <f t="shared" si="103"/>
        <v>53.589720250000049</v>
      </c>
      <c r="O149" s="121">
        <f t="shared" si="103"/>
        <v>58.948692275000056</v>
      </c>
      <c r="P149" s="251">
        <f t="shared" si="103"/>
        <v>64.843561502500066</v>
      </c>
      <c r="Q149" s="80"/>
      <c r="R149" s="50"/>
      <c r="S149" s="50"/>
      <c r="T149" s="50"/>
      <c r="U149" s="50"/>
      <c r="V149" s="50"/>
      <c r="W149" s="50"/>
      <c r="X149" s="50"/>
      <c r="Y149" s="50"/>
      <c r="Z149" s="50"/>
    </row>
    <row r="150" spans="1:26" ht="15.75" customHeight="1" x14ac:dyDescent="0.35">
      <c r="A150" s="50"/>
      <c r="B150" s="53" t="s">
        <v>172</v>
      </c>
      <c r="C150" s="47"/>
      <c r="D150" s="121">
        <f t="shared" ref="D150:P150" si="104">D125*D138</f>
        <v>25</v>
      </c>
      <c r="E150" s="121">
        <f t="shared" si="104"/>
        <v>25</v>
      </c>
      <c r="F150" s="121">
        <f t="shared" si="104"/>
        <v>25</v>
      </c>
      <c r="G150" s="121">
        <f t="shared" si="104"/>
        <v>27.500000000000004</v>
      </c>
      <c r="H150" s="121">
        <f t="shared" si="104"/>
        <v>30.250000000000007</v>
      </c>
      <c r="I150" s="121">
        <f t="shared" si="104"/>
        <v>33.275000000000013</v>
      </c>
      <c r="J150" s="121">
        <f t="shared" si="104"/>
        <v>36.60250000000002</v>
      </c>
      <c r="K150" s="121">
        <f t="shared" si="104"/>
        <v>40.262750000000025</v>
      </c>
      <c r="L150" s="121">
        <f t="shared" si="104"/>
        <v>44.289025000000031</v>
      </c>
      <c r="M150" s="121">
        <f t="shared" si="104"/>
        <v>48.717927500000037</v>
      </c>
      <c r="N150" s="121">
        <f t="shared" si="104"/>
        <v>53.589720250000049</v>
      </c>
      <c r="O150" s="121">
        <f t="shared" si="104"/>
        <v>58.948692275000056</v>
      </c>
      <c r="P150" s="251">
        <f t="shared" si="104"/>
        <v>64.843561502500066</v>
      </c>
      <c r="Q150" s="80"/>
      <c r="R150" s="50"/>
      <c r="S150" s="50"/>
      <c r="T150" s="50"/>
      <c r="U150" s="50"/>
      <c r="V150" s="50"/>
      <c r="W150" s="50"/>
      <c r="X150" s="50"/>
      <c r="Y150" s="50"/>
      <c r="Z150" s="50"/>
    </row>
    <row r="151" spans="1:26" ht="15.75" customHeight="1" x14ac:dyDescent="0.35">
      <c r="A151" s="50"/>
      <c r="B151" s="53" t="s">
        <v>173</v>
      </c>
      <c r="C151" s="47"/>
      <c r="D151" s="121">
        <f t="shared" ref="D151:P151" si="105">D126*D139</f>
        <v>25</v>
      </c>
      <c r="E151" s="121">
        <f t="shared" si="105"/>
        <v>25</v>
      </c>
      <c r="F151" s="121">
        <f t="shared" si="105"/>
        <v>25</v>
      </c>
      <c r="G151" s="121">
        <f t="shared" si="105"/>
        <v>27.500000000000004</v>
      </c>
      <c r="H151" s="121">
        <f t="shared" si="105"/>
        <v>30.250000000000007</v>
      </c>
      <c r="I151" s="121">
        <f t="shared" si="105"/>
        <v>33.275000000000013</v>
      </c>
      <c r="J151" s="121">
        <f t="shared" si="105"/>
        <v>36.60250000000002</v>
      </c>
      <c r="K151" s="121">
        <f t="shared" si="105"/>
        <v>40.262750000000025</v>
      </c>
      <c r="L151" s="121">
        <f t="shared" si="105"/>
        <v>44.289025000000031</v>
      </c>
      <c r="M151" s="121">
        <f t="shared" si="105"/>
        <v>48.717927500000037</v>
      </c>
      <c r="N151" s="121">
        <f t="shared" si="105"/>
        <v>53.589720250000049</v>
      </c>
      <c r="O151" s="121">
        <f t="shared" si="105"/>
        <v>58.948692275000056</v>
      </c>
      <c r="P151" s="251">
        <f t="shared" si="105"/>
        <v>64.843561502500066</v>
      </c>
      <c r="Q151" s="80"/>
      <c r="R151" s="50"/>
      <c r="S151" s="50"/>
      <c r="T151" s="50"/>
      <c r="U151" s="50"/>
      <c r="V151" s="50"/>
      <c r="W151" s="50"/>
      <c r="X151" s="50"/>
      <c r="Y151" s="50"/>
      <c r="Z151" s="50"/>
    </row>
    <row r="152" spans="1:26" ht="15.75" customHeight="1" x14ac:dyDescent="0.35">
      <c r="A152" s="50"/>
      <c r="B152" s="53" t="s">
        <v>174</v>
      </c>
      <c r="C152" s="47"/>
      <c r="D152" s="121">
        <f t="shared" ref="D152:P152" si="106">D127*D140</f>
        <v>25</v>
      </c>
      <c r="E152" s="121">
        <f t="shared" si="106"/>
        <v>25</v>
      </c>
      <c r="F152" s="121">
        <f t="shared" si="106"/>
        <v>25</v>
      </c>
      <c r="G152" s="121">
        <f t="shared" si="106"/>
        <v>27.500000000000004</v>
      </c>
      <c r="H152" s="121">
        <f t="shared" si="106"/>
        <v>30.250000000000007</v>
      </c>
      <c r="I152" s="121">
        <f t="shared" si="106"/>
        <v>33.275000000000013</v>
      </c>
      <c r="J152" s="121">
        <f t="shared" si="106"/>
        <v>36.60250000000002</v>
      </c>
      <c r="K152" s="121">
        <f t="shared" si="106"/>
        <v>40.262750000000025</v>
      </c>
      <c r="L152" s="121">
        <f t="shared" si="106"/>
        <v>44.289025000000031</v>
      </c>
      <c r="M152" s="121">
        <f t="shared" si="106"/>
        <v>48.717927500000037</v>
      </c>
      <c r="N152" s="121">
        <f t="shared" si="106"/>
        <v>53.589720250000049</v>
      </c>
      <c r="O152" s="121">
        <f t="shared" si="106"/>
        <v>58.948692275000056</v>
      </c>
      <c r="P152" s="251">
        <f t="shared" si="106"/>
        <v>64.843561502500066</v>
      </c>
      <c r="Q152" s="80"/>
      <c r="R152" s="50"/>
      <c r="S152" s="50"/>
      <c r="T152" s="50"/>
      <c r="U152" s="50"/>
      <c r="V152" s="50"/>
      <c r="W152" s="50"/>
      <c r="X152" s="50"/>
      <c r="Y152" s="50"/>
      <c r="Z152" s="50"/>
    </row>
    <row r="153" spans="1:26" ht="15.75" customHeight="1" x14ac:dyDescent="0.35">
      <c r="A153" s="50"/>
      <c r="B153" s="53" t="s">
        <v>175</v>
      </c>
      <c r="C153" s="47"/>
      <c r="D153" s="121">
        <f t="shared" ref="D153:P153" si="107">D128*D141</f>
        <v>25</v>
      </c>
      <c r="E153" s="121">
        <f t="shared" si="107"/>
        <v>25</v>
      </c>
      <c r="F153" s="121">
        <f t="shared" si="107"/>
        <v>25</v>
      </c>
      <c r="G153" s="121">
        <f t="shared" si="107"/>
        <v>27.500000000000004</v>
      </c>
      <c r="H153" s="121">
        <f t="shared" si="107"/>
        <v>30.250000000000007</v>
      </c>
      <c r="I153" s="121">
        <f t="shared" si="107"/>
        <v>33.275000000000013</v>
      </c>
      <c r="J153" s="121">
        <f t="shared" si="107"/>
        <v>36.60250000000002</v>
      </c>
      <c r="K153" s="121">
        <f t="shared" si="107"/>
        <v>40.262750000000025</v>
      </c>
      <c r="L153" s="121">
        <f t="shared" si="107"/>
        <v>44.289025000000031</v>
      </c>
      <c r="M153" s="121">
        <f t="shared" si="107"/>
        <v>48.717927500000037</v>
      </c>
      <c r="N153" s="121">
        <f t="shared" si="107"/>
        <v>53.589720250000049</v>
      </c>
      <c r="O153" s="121">
        <f t="shared" si="107"/>
        <v>58.948692275000056</v>
      </c>
      <c r="P153" s="251">
        <f t="shared" si="107"/>
        <v>64.843561502500066</v>
      </c>
      <c r="Q153" s="80"/>
      <c r="R153" s="50"/>
      <c r="S153" s="50"/>
      <c r="T153" s="50"/>
      <c r="U153" s="50"/>
      <c r="V153" s="50"/>
      <c r="W153" s="50"/>
      <c r="X153" s="50"/>
      <c r="Y153" s="50"/>
      <c r="Z153" s="50"/>
    </row>
    <row r="154" spans="1:26" ht="15.75" customHeight="1" x14ac:dyDescent="0.35">
      <c r="A154" s="50"/>
      <c r="B154" s="53" t="s">
        <v>176</v>
      </c>
      <c r="C154" s="47"/>
      <c r="D154" s="121">
        <f t="shared" ref="D154:P154" si="108">D129*D142</f>
        <v>25</v>
      </c>
      <c r="E154" s="121">
        <f t="shared" si="108"/>
        <v>25</v>
      </c>
      <c r="F154" s="121">
        <f t="shared" si="108"/>
        <v>25</v>
      </c>
      <c r="G154" s="121">
        <f t="shared" si="108"/>
        <v>27.500000000000004</v>
      </c>
      <c r="H154" s="121">
        <f t="shared" si="108"/>
        <v>30.250000000000007</v>
      </c>
      <c r="I154" s="121">
        <f t="shared" si="108"/>
        <v>33.275000000000013</v>
      </c>
      <c r="J154" s="121">
        <f t="shared" si="108"/>
        <v>36.60250000000002</v>
      </c>
      <c r="K154" s="121">
        <f t="shared" si="108"/>
        <v>40.262750000000025</v>
      </c>
      <c r="L154" s="121">
        <f t="shared" si="108"/>
        <v>44.289025000000031</v>
      </c>
      <c r="M154" s="121">
        <f t="shared" si="108"/>
        <v>48.717927500000037</v>
      </c>
      <c r="N154" s="121">
        <f t="shared" si="108"/>
        <v>53.589720250000049</v>
      </c>
      <c r="O154" s="121">
        <f t="shared" si="108"/>
        <v>58.948692275000056</v>
      </c>
      <c r="P154" s="251">
        <f t="shared" si="108"/>
        <v>64.843561502500066</v>
      </c>
      <c r="Q154" s="80"/>
      <c r="R154" s="50"/>
      <c r="S154" s="50"/>
      <c r="T154" s="50"/>
      <c r="U154" s="50"/>
      <c r="V154" s="50"/>
      <c r="W154" s="50"/>
      <c r="X154" s="50"/>
      <c r="Y154" s="50"/>
      <c r="Z154" s="50"/>
    </row>
    <row r="155" spans="1:26" ht="15.75" customHeight="1" x14ac:dyDescent="0.35">
      <c r="A155" s="237"/>
      <c r="B155" s="238" t="s">
        <v>65</v>
      </c>
      <c r="C155" s="239"/>
      <c r="D155" s="252">
        <f t="shared" ref="D155:P155" si="109">SUM(D144:D154)</f>
        <v>275</v>
      </c>
      <c r="E155" s="252">
        <f t="shared" si="109"/>
        <v>275</v>
      </c>
      <c r="F155" s="252">
        <f t="shared" si="109"/>
        <v>275</v>
      </c>
      <c r="G155" s="252">
        <f t="shared" si="109"/>
        <v>302.50000000000006</v>
      </c>
      <c r="H155" s="252">
        <f t="shared" si="109"/>
        <v>332.75000000000006</v>
      </c>
      <c r="I155" s="252">
        <f t="shared" si="109"/>
        <v>366.0250000000002</v>
      </c>
      <c r="J155" s="252">
        <f t="shared" si="109"/>
        <v>402.62750000000023</v>
      </c>
      <c r="K155" s="252">
        <f t="shared" si="109"/>
        <v>442.89025000000038</v>
      </c>
      <c r="L155" s="252">
        <f t="shared" si="109"/>
        <v>487.17927500000036</v>
      </c>
      <c r="M155" s="252">
        <f t="shared" si="109"/>
        <v>535.89720250000039</v>
      </c>
      <c r="N155" s="252">
        <f t="shared" si="109"/>
        <v>589.48692275000042</v>
      </c>
      <c r="O155" s="252">
        <f t="shared" si="109"/>
        <v>648.43561502500063</v>
      </c>
      <c r="P155" s="253">
        <f t="shared" si="109"/>
        <v>713.27917652750068</v>
      </c>
      <c r="Q155" s="240"/>
      <c r="R155" s="237"/>
      <c r="S155" s="237"/>
      <c r="T155" s="237"/>
      <c r="U155" s="237"/>
      <c r="V155" s="237"/>
      <c r="W155" s="237"/>
      <c r="X155" s="237"/>
      <c r="Y155" s="237"/>
      <c r="Z155" s="237"/>
    </row>
    <row r="156" spans="1:26" ht="15.75" customHeight="1" x14ac:dyDescent="0.35">
      <c r="A156" s="50"/>
      <c r="B156" s="219" t="s">
        <v>137</v>
      </c>
      <c r="C156" s="290"/>
      <c r="D156" s="221">
        <f t="array" ref="D156">NPV(D32,D155:P155)</f>
        <v>3844.5536151924557</v>
      </c>
      <c r="E156" s="134"/>
      <c r="F156" s="134"/>
      <c r="G156" s="134"/>
      <c r="H156" s="134"/>
      <c r="I156" s="134"/>
      <c r="J156" s="134"/>
      <c r="K156" s="134"/>
      <c r="L156" s="134"/>
      <c r="M156" s="134"/>
      <c r="N156" s="134"/>
      <c r="O156" s="134"/>
      <c r="P156" s="136"/>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35" t="s">
        <v>55</v>
      </c>
      <c r="C158" s="38"/>
      <c r="D158" s="565" t="s">
        <v>129</v>
      </c>
      <c r="E158" s="552"/>
      <c r="F158" s="553"/>
      <c r="G158" s="112" t="s">
        <v>130</v>
      </c>
      <c r="H158" s="38" t="e">
        <f t="shared" ref="H158:P158" si="110">+G158+1</f>
        <v>#VALUE!</v>
      </c>
      <c r="I158" s="38" t="e">
        <f t="shared" si="110"/>
        <v>#VALUE!</v>
      </c>
      <c r="J158" s="38" t="e">
        <f t="shared" si="110"/>
        <v>#VALUE!</v>
      </c>
      <c r="K158" s="38" t="e">
        <f t="shared" si="110"/>
        <v>#VALUE!</v>
      </c>
      <c r="L158" s="38" t="e">
        <f t="shared" si="110"/>
        <v>#VALUE!</v>
      </c>
      <c r="M158" s="38" t="e">
        <f t="shared" si="110"/>
        <v>#VALUE!</v>
      </c>
      <c r="N158" s="38" t="e">
        <f t="shared" si="110"/>
        <v>#VALUE!</v>
      </c>
      <c r="O158" s="38" t="e">
        <f t="shared" si="110"/>
        <v>#VALUE!</v>
      </c>
      <c r="P158" s="39" t="e">
        <f t="shared" si="110"/>
        <v>#VALUE!</v>
      </c>
      <c r="Q158" s="50"/>
      <c r="R158" s="50"/>
      <c r="S158" s="50"/>
      <c r="T158" s="50"/>
      <c r="U158" s="50"/>
      <c r="V158" s="50"/>
      <c r="W158" s="50"/>
      <c r="X158" s="50"/>
      <c r="Y158" s="50"/>
      <c r="Z158" s="50"/>
    </row>
    <row r="159" spans="1:26" ht="15.75" customHeight="1" x14ac:dyDescent="0.35">
      <c r="A159" s="50"/>
      <c r="B159" s="40"/>
      <c r="C159" s="113"/>
      <c r="D159" s="159">
        <f>D117</f>
        <v>1</v>
      </c>
      <c r="E159" s="159">
        <f>+D159+1</f>
        <v>2</v>
      </c>
      <c r="F159" s="159">
        <f t="shared" ref="F159:P159" si="111">E159+1</f>
        <v>3</v>
      </c>
      <c r="G159" s="159">
        <f t="shared" si="111"/>
        <v>4</v>
      </c>
      <c r="H159" s="159">
        <f t="shared" si="111"/>
        <v>5</v>
      </c>
      <c r="I159" s="159">
        <f t="shared" si="111"/>
        <v>6</v>
      </c>
      <c r="J159" s="159">
        <f t="shared" si="111"/>
        <v>7</v>
      </c>
      <c r="K159" s="159">
        <f t="shared" si="111"/>
        <v>8</v>
      </c>
      <c r="L159" s="159">
        <f t="shared" si="111"/>
        <v>9</v>
      </c>
      <c r="M159" s="159">
        <f t="shared" si="111"/>
        <v>10</v>
      </c>
      <c r="N159" s="159">
        <f t="shared" si="111"/>
        <v>11</v>
      </c>
      <c r="O159" s="159">
        <f t="shared" si="111"/>
        <v>12</v>
      </c>
      <c r="P159" s="160">
        <f t="shared" si="111"/>
        <v>13</v>
      </c>
      <c r="Q159" s="50"/>
      <c r="R159" s="50"/>
      <c r="S159" s="50"/>
      <c r="T159" s="50"/>
      <c r="U159" s="50"/>
      <c r="V159" s="50"/>
      <c r="W159" s="50"/>
      <c r="X159" s="50"/>
      <c r="Y159" s="50"/>
      <c r="Z159" s="50"/>
    </row>
    <row r="160" spans="1:26" ht="15.75" customHeight="1" x14ac:dyDescent="0.35">
      <c r="A160" s="50"/>
      <c r="B160" s="46" t="s">
        <v>319</v>
      </c>
      <c r="C160" s="47"/>
      <c r="D160" s="49"/>
      <c r="E160" s="49"/>
      <c r="F160" s="49"/>
      <c r="G160" s="49"/>
      <c r="H160" s="49"/>
      <c r="I160" s="49"/>
      <c r="J160" s="49"/>
      <c r="K160" s="49"/>
      <c r="L160" s="49"/>
      <c r="M160" s="49"/>
      <c r="N160" s="50"/>
      <c r="O160" s="50"/>
      <c r="P160" s="115"/>
      <c r="Q160" s="50"/>
      <c r="R160" s="50"/>
      <c r="S160" s="50"/>
      <c r="T160" s="50"/>
      <c r="U160" s="50"/>
      <c r="V160" s="50"/>
      <c r="W160" s="50"/>
      <c r="X160" s="50"/>
      <c r="Y160" s="50"/>
      <c r="Z160" s="50"/>
    </row>
    <row r="161" spans="1:26" ht="15.75" customHeight="1" x14ac:dyDescent="0.35">
      <c r="A161" s="50"/>
      <c r="B161" s="53" t="s">
        <v>165</v>
      </c>
      <c r="C161" s="190" t="s">
        <v>109</v>
      </c>
      <c r="D161" s="195">
        <f>IFERROR(D119/'1.Red. Purch. Cost Vasc.'!D76,"")</f>
        <v>0.1</v>
      </c>
      <c r="E161" s="195">
        <f>IFERROR(E119/'1.Red. Purch. Cost Vasc.'!E76,"")</f>
        <v>0.1</v>
      </c>
      <c r="F161" s="195">
        <f>IFERROR(F119/'1.Red. Purch. Cost Vasc.'!F76,"")</f>
        <v>0.1</v>
      </c>
      <c r="G161" s="195">
        <f>IFERROR(G119/'1.Red. Purch. Cost Vasc.'!G76,"")</f>
        <v>0.10891089108910892</v>
      </c>
      <c r="H161" s="195">
        <f>IFERROR(H119/'1.Red. Purch. Cost Vasc.'!H76,"")</f>
        <v>0.11861582197823746</v>
      </c>
      <c r="I161" s="195">
        <f>IFERROR(I119/'1.Red. Purch. Cost Vasc.'!I76,"")</f>
        <v>0.12918554868916954</v>
      </c>
      <c r="J161" s="195">
        <f>IFERROR(J119/'1.Red. Purch. Cost Vasc.'!J76,"")</f>
        <v>0.14069713223572922</v>
      </c>
      <c r="K161" s="195">
        <f>IFERROR(K119/'1.Red. Purch. Cost Vasc.'!K76,"")</f>
        <v>0.15323450045475462</v>
      </c>
      <c r="L161" s="195">
        <f>IFERROR(L119/'1.Red. Purch. Cost Vasc.'!L76,"")</f>
        <v>0.16688905990121791</v>
      </c>
      <c r="M161" s="195">
        <f>IFERROR(M119/'1.Red. Purch. Cost Vasc.'!M76,"")</f>
        <v>0.18176036226865319</v>
      </c>
      <c r="N161" s="195">
        <f>IFERROR(N119/'1.Red. Purch. Cost Vasc.'!N76,"")</f>
        <v>0.19795683019358271</v>
      </c>
      <c r="O161" s="195">
        <f>IFERROR(O119/'1.Red. Purch. Cost Vasc.'!O76,"")</f>
        <v>0.21559654773558512</v>
      </c>
      <c r="P161" s="281">
        <f>IFERROR(P119/'1.Red. Purch. Cost Vasc.'!P76,"")</f>
        <v>0.23480812129618181</v>
      </c>
      <c r="Q161" s="50"/>
      <c r="R161" s="50"/>
      <c r="S161" s="50"/>
      <c r="T161" s="50"/>
      <c r="U161" s="50"/>
      <c r="V161" s="50"/>
      <c r="W161" s="50"/>
      <c r="X161" s="50"/>
      <c r="Y161" s="50"/>
      <c r="Z161" s="50"/>
    </row>
    <row r="162" spans="1:26" ht="15.75" customHeight="1" x14ac:dyDescent="0.35">
      <c r="A162" s="50"/>
      <c r="B162" s="53" t="s">
        <v>166</v>
      </c>
      <c r="C162" s="190" t="s">
        <v>109</v>
      </c>
      <c r="D162" s="195">
        <f>IFERROR(D120/'1.Red. Purch. Cost Vasc.'!D77,"")</f>
        <v>0.1</v>
      </c>
      <c r="E162" s="195">
        <f>IFERROR(E120/'1.Red. Purch. Cost Vasc.'!E77,"")</f>
        <v>0.1</v>
      </c>
      <c r="F162" s="195">
        <f>IFERROR(F120/'1.Red. Purch. Cost Vasc.'!F77,"")</f>
        <v>0.1</v>
      </c>
      <c r="G162" s="195">
        <f>IFERROR(G120/'1.Red. Purch. Cost Vasc.'!G77,"")</f>
        <v>0.10891089108910892</v>
      </c>
      <c r="H162" s="195">
        <f>IFERROR(H120/'1.Red. Purch. Cost Vasc.'!H77,"")</f>
        <v>0.11861582197823746</v>
      </c>
      <c r="I162" s="195">
        <f>IFERROR(I120/'1.Red. Purch. Cost Vasc.'!I77,"")</f>
        <v>0.12918554868916954</v>
      </c>
      <c r="J162" s="195">
        <f>IFERROR(J120/'1.Red. Purch. Cost Vasc.'!J77,"")</f>
        <v>0.14069713223572922</v>
      </c>
      <c r="K162" s="195">
        <f>IFERROR(K120/'1.Red. Purch. Cost Vasc.'!K77,"")</f>
        <v>0.15323450045475462</v>
      </c>
      <c r="L162" s="195">
        <f>IFERROR(L120/'1.Red. Purch. Cost Vasc.'!L77,"")</f>
        <v>0.16688905990121791</v>
      </c>
      <c r="M162" s="195">
        <f>IFERROR(M120/'1.Red. Purch. Cost Vasc.'!M77,"")</f>
        <v>0.18176036226865319</v>
      </c>
      <c r="N162" s="195">
        <f>IFERROR(N120/'1.Red. Purch. Cost Vasc.'!N77,"")</f>
        <v>0.19795683019358271</v>
      </c>
      <c r="O162" s="195">
        <f>IFERROR(O120/'1.Red. Purch. Cost Vasc.'!O77,"")</f>
        <v>0.21559654773558512</v>
      </c>
      <c r="P162" s="281">
        <f>IFERROR(P120/'1.Red. Purch. Cost Vasc.'!P77,"")</f>
        <v>0.23480812129618181</v>
      </c>
      <c r="Q162" s="50"/>
      <c r="R162" s="50"/>
      <c r="S162" s="50"/>
      <c r="T162" s="50"/>
      <c r="U162" s="50"/>
      <c r="V162" s="50"/>
      <c r="W162" s="50"/>
      <c r="X162" s="50"/>
      <c r="Y162" s="50"/>
      <c r="Z162" s="50"/>
    </row>
    <row r="163" spans="1:26" ht="15.75" customHeight="1" x14ac:dyDescent="0.35">
      <c r="A163" s="50"/>
      <c r="B163" s="53" t="s">
        <v>167</v>
      </c>
      <c r="C163" s="190" t="s">
        <v>109</v>
      </c>
      <c r="D163" s="195">
        <f>IFERROR(D121/'1.Red. Purch. Cost Vasc.'!D78,"")</f>
        <v>0.1</v>
      </c>
      <c r="E163" s="195">
        <f>IFERROR(E121/'1.Red. Purch. Cost Vasc.'!E78,"")</f>
        <v>0.1</v>
      </c>
      <c r="F163" s="195">
        <f>IFERROR(F121/'1.Red. Purch. Cost Vasc.'!F78,"")</f>
        <v>0.1</v>
      </c>
      <c r="G163" s="195">
        <f>IFERROR(G121/'1.Red. Purch. Cost Vasc.'!G78,"")</f>
        <v>0.10891089108910892</v>
      </c>
      <c r="H163" s="195">
        <f>IFERROR(H121/'1.Red. Purch. Cost Vasc.'!H78,"")</f>
        <v>0.11861582197823746</v>
      </c>
      <c r="I163" s="195">
        <f>IFERROR(I121/'1.Red. Purch. Cost Vasc.'!I78,"")</f>
        <v>0.12918554868916954</v>
      </c>
      <c r="J163" s="195">
        <f>IFERROR(J121/'1.Red. Purch. Cost Vasc.'!J78,"")</f>
        <v>0.14069713223572922</v>
      </c>
      <c r="K163" s="195">
        <f>IFERROR(K121/'1.Red. Purch. Cost Vasc.'!K78,"")</f>
        <v>0.15323450045475462</v>
      </c>
      <c r="L163" s="195">
        <f>IFERROR(L121/'1.Red. Purch. Cost Vasc.'!L78,"")</f>
        <v>0.16688905990121791</v>
      </c>
      <c r="M163" s="195">
        <f>IFERROR(M121/'1.Red. Purch. Cost Vasc.'!M78,"")</f>
        <v>0.18176036226865319</v>
      </c>
      <c r="N163" s="195">
        <f>IFERROR(N121/'1.Red. Purch. Cost Vasc.'!N78,"")</f>
        <v>0.19795683019358271</v>
      </c>
      <c r="O163" s="195">
        <f>IFERROR(O121/'1.Red. Purch. Cost Vasc.'!O78,"")</f>
        <v>0.21559654773558512</v>
      </c>
      <c r="P163" s="281">
        <f>IFERROR(P121/'1.Red. Purch. Cost Vasc.'!P78,"")</f>
        <v>0.23480812129618181</v>
      </c>
      <c r="Q163" s="50"/>
      <c r="R163" s="50"/>
      <c r="S163" s="50"/>
      <c r="T163" s="50"/>
      <c r="U163" s="50"/>
      <c r="V163" s="50"/>
      <c r="W163" s="50"/>
      <c r="X163" s="50"/>
      <c r="Y163" s="50"/>
      <c r="Z163" s="50"/>
    </row>
    <row r="164" spans="1:26" ht="15.75" customHeight="1" x14ac:dyDescent="0.35">
      <c r="A164" s="50"/>
      <c r="B164" s="53" t="s">
        <v>169</v>
      </c>
      <c r="C164" s="190" t="s">
        <v>109</v>
      </c>
      <c r="D164" s="195">
        <f>IFERROR(D122/'1.Red. Purch. Cost Vasc.'!D79,"")</f>
        <v>0.1</v>
      </c>
      <c r="E164" s="195">
        <f>IFERROR(E122/'1.Red. Purch. Cost Vasc.'!E79,"")</f>
        <v>0.1</v>
      </c>
      <c r="F164" s="195">
        <f>IFERROR(F122/'1.Red. Purch. Cost Vasc.'!F79,"")</f>
        <v>0.1</v>
      </c>
      <c r="G164" s="195">
        <f>IFERROR(G122/'1.Red. Purch. Cost Vasc.'!G79,"")</f>
        <v>0.10891089108910892</v>
      </c>
      <c r="H164" s="195">
        <f>IFERROR(H122/'1.Red. Purch. Cost Vasc.'!H79,"")</f>
        <v>0.11861582197823746</v>
      </c>
      <c r="I164" s="195">
        <f>IFERROR(I122/'1.Red. Purch. Cost Vasc.'!I79,"")</f>
        <v>0.12918554868916954</v>
      </c>
      <c r="J164" s="195">
        <f>IFERROR(J122/'1.Red. Purch. Cost Vasc.'!J79,"")</f>
        <v>0.14069713223572922</v>
      </c>
      <c r="K164" s="195">
        <f>IFERROR(K122/'1.Red. Purch. Cost Vasc.'!K79,"")</f>
        <v>0.15323450045475462</v>
      </c>
      <c r="L164" s="195">
        <f>IFERROR(L122/'1.Red. Purch. Cost Vasc.'!L79,"")</f>
        <v>0.16688905990121791</v>
      </c>
      <c r="M164" s="195">
        <f>IFERROR(M122/'1.Red. Purch. Cost Vasc.'!M79,"")</f>
        <v>0.18176036226865319</v>
      </c>
      <c r="N164" s="195">
        <f>IFERROR(N122/'1.Red. Purch. Cost Vasc.'!N79,"")</f>
        <v>0.19795683019358271</v>
      </c>
      <c r="O164" s="195">
        <f>IFERROR(O122/'1.Red. Purch. Cost Vasc.'!O79,"")</f>
        <v>0.21559654773558512</v>
      </c>
      <c r="P164" s="281">
        <f>IFERROR(P122/'1.Red. Purch. Cost Vasc.'!P79,"")</f>
        <v>0.23480812129618181</v>
      </c>
      <c r="Q164" s="50"/>
      <c r="R164" s="50"/>
      <c r="S164" s="50"/>
      <c r="T164" s="50"/>
      <c r="U164" s="50"/>
      <c r="V164" s="50"/>
      <c r="W164" s="50"/>
      <c r="X164" s="50"/>
      <c r="Y164" s="50"/>
      <c r="Z164" s="50"/>
    </row>
    <row r="165" spans="1:26" ht="15.75" customHeight="1" x14ac:dyDescent="0.35">
      <c r="A165" s="50"/>
      <c r="B165" s="53" t="s">
        <v>170</v>
      </c>
      <c r="C165" s="190" t="s">
        <v>109</v>
      </c>
      <c r="D165" s="195">
        <f>IFERROR(D123/'1.Red. Purch. Cost Vasc.'!D80,"")</f>
        <v>0.1</v>
      </c>
      <c r="E165" s="195">
        <f>IFERROR(E123/'1.Red. Purch. Cost Vasc.'!E80,"")</f>
        <v>0.1</v>
      </c>
      <c r="F165" s="195">
        <f>IFERROR(F123/'1.Red. Purch. Cost Vasc.'!F80,"")</f>
        <v>0.1</v>
      </c>
      <c r="G165" s="195">
        <f>IFERROR(G123/'1.Red. Purch. Cost Vasc.'!G80,"")</f>
        <v>0.10891089108910892</v>
      </c>
      <c r="H165" s="195">
        <f>IFERROR(H123/'1.Red. Purch. Cost Vasc.'!H80,"")</f>
        <v>0.11861582197823746</v>
      </c>
      <c r="I165" s="195">
        <f>IFERROR(I123/'1.Red. Purch. Cost Vasc.'!I80,"")</f>
        <v>0.12918554868916954</v>
      </c>
      <c r="J165" s="195">
        <f>IFERROR(J123/'1.Red. Purch. Cost Vasc.'!J80,"")</f>
        <v>0.14069713223572922</v>
      </c>
      <c r="K165" s="195">
        <f>IFERROR(K123/'1.Red. Purch. Cost Vasc.'!K80,"")</f>
        <v>0.15323450045475462</v>
      </c>
      <c r="L165" s="195">
        <f>IFERROR(L123/'1.Red. Purch. Cost Vasc.'!L80,"")</f>
        <v>0.16688905990121791</v>
      </c>
      <c r="M165" s="195">
        <f>IFERROR(M123/'1.Red. Purch. Cost Vasc.'!M80,"")</f>
        <v>0.18176036226865319</v>
      </c>
      <c r="N165" s="195">
        <f>IFERROR(N123/'1.Red. Purch. Cost Vasc.'!N80,"")</f>
        <v>0.19795683019358271</v>
      </c>
      <c r="O165" s="195">
        <f>IFERROR(O123/'1.Red. Purch. Cost Vasc.'!O80,"")</f>
        <v>0.21559654773558512</v>
      </c>
      <c r="P165" s="281">
        <f>IFERROR(P123/'1.Red. Purch. Cost Vasc.'!P80,"")</f>
        <v>0.23480812129618181</v>
      </c>
      <c r="Q165" s="50"/>
      <c r="R165" s="50"/>
      <c r="S165" s="50"/>
      <c r="T165" s="50"/>
      <c r="U165" s="50"/>
      <c r="V165" s="50"/>
      <c r="W165" s="50"/>
      <c r="X165" s="50"/>
      <c r="Y165" s="50"/>
      <c r="Z165" s="50"/>
    </row>
    <row r="166" spans="1:26" ht="15.75" customHeight="1" x14ac:dyDescent="0.35">
      <c r="A166" s="50"/>
      <c r="B166" s="53" t="s">
        <v>171</v>
      </c>
      <c r="C166" s="190" t="s">
        <v>109</v>
      </c>
      <c r="D166" s="195">
        <f>IFERROR(D124/'1.Red. Purch. Cost Vasc.'!D81,"")</f>
        <v>0.1</v>
      </c>
      <c r="E166" s="195">
        <f>IFERROR(E124/'1.Red. Purch. Cost Vasc.'!E81,"")</f>
        <v>0.1</v>
      </c>
      <c r="F166" s="195">
        <f>IFERROR(F124/'1.Red. Purch. Cost Vasc.'!F81,"")</f>
        <v>0.1</v>
      </c>
      <c r="G166" s="195">
        <f>IFERROR(G124/'1.Red. Purch. Cost Vasc.'!G81,"")</f>
        <v>0.10891089108910892</v>
      </c>
      <c r="H166" s="195">
        <f>IFERROR(H124/'1.Red. Purch. Cost Vasc.'!H81,"")</f>
        <v>0.11861582197823746</v>
      </c>
      <c r="I166" s="195">
        <f>IFERROR(I124/'1.Red. Purch. Cost Vasc.'!I81,"")</f>
        <v>0.12918554868916954</v>
      </c>
      <c r="J166" s="195">
        <f>IFERROR(J124/'1.Red. Purch. Cost Vasc.'!J81,"")</f>
        <v>0.14069713223572922</v>
      </c>
      <c r="K166" s="195">
        <f>IFERROR(K124/'1.Red. Purch. Cost Vasc.'!K81,"")</f>
        <v>0.15323450045475462</v>
      </c>
      <c r="L166" s="195">
        <f>IFERROR(L124/'1.Red. Purch. Cost Vasc.'!L81,"")</f>
        <v>0.16688905990121791</v>
      </c>
      <c r="M166" s="195">
        <f>IFERROR(M124/'1.Red. Purch. Cost Vasc.'!M81,"")</f>
        <v>0.18176036226865319</v>
      </c>
      <c r="N166" s="195">
        <f>IFERROR(N124/'1.Red. Purch. Cost Vasc.'!N81,"")</f>
        <v>0.19795683019358271</v>
      </c>
      <c r="O166" s="195">
        <f>IFERROR(O124/'1.Red. Purch. Cost Vasc.'!O81,"")</f>
        <v>0.21559654773558512</v>
      </c>
      <c r="P166" s="281">
        <f>IFERROR(P124/'1.Red. Purch. Cost Vasc.'!P81,"")</f>
        <v>0.23480812129618181</v>
      </c>
      <c r="Q166" s="50"/>
      <c r="R166" s="50"/>
      <c r="S166" s="50"/>
      <c r="T166" s="50"/>
      <c r="U166" s="50"/>
      <c r="V166" s="50"/>
      <c r="W166" s="50"/>
      <c r="X166" s="50"/>
      <c r="Y166" s="50"/>
      <c r="Z166" s="50"/>
    </row>
    <row r="167" spans="1:26" ht="15.75" customHeight="1" x14ac:dyDescent="0.35">
      <c r="A167" s="50"/>
      <c r="B167" s="53" t="s">
        <v>172</v>
      </c>
      <c r="C167" s="190" t="s">
        <v>109</v>
      </c>
      <c r="D167" s="195">
        <f>IFERROR(D125/'1.Red. Purch. Cost Vasc.'!D82,"")</f>
        <v>0.1</v>
      </c>
      <c r="E167" s="195">
        <f>IFERROR(E125/'1.Red. Purch. Cost Vasc.'!E82,"")</f>
        <v>0.1</v>
      </c>
      <c r="F167" s="195">
        <f>IFERROR(F125/'1.Red. Purch. Cost Vasc.'!F82,"")</f>
        <v>0.1</v>
      </c>
      <c r="G167" s="195">
        <f>IFERROR(G125/'1.Red. Purch. Cost Vasc.'!G82,"")</f>
        <v>0.10891089108910892</v>
      </c>
      <c r="H167" s="195">
        <f>IFERROR(H125/'1.Red. Purch. Cost Vasc.'!H82,"")</f>
        <v>0.11861582197823746</v>
      </c>
      <c r="I167" s="195">
        <f>IFERROR(I125/'1.Red. Purch. Cost Vasc.'!I82,"")</f>
        <v>0.12918554868916954</v>
      </c>
      <c r="J167" s="195">
        <f>IFERROR(J125/'1.Red. Purch. Cost Vasc.'!J82,"")</f>
        <v>0.14069713223572922</v>
      </c>
      <c r="K167" s="195">
        <f>IFERROR(K125/'1.Red. Purch. Cost Vasc.'!K82,"")</f>
        <v>0.15323450045475462</v>
      </c>
      <c r="L167" s="195">
        <f>IFERROR(L125/'1.Red. Purch. Cost Vasc.'!L82,"")</f>
        <v>0.16688905990121791</v>
      </c>
      <c r="M167" s="195">
        <f>IFERROR(M125/'1.Red. Purch. Cost Vasc.'!M82,"")</f>
        <v>0.18176036226865319</v>
      </c>
      <c r="N167" s="195">
        <f>IFERROR(N125/'1.Red. Purch. Cost Vasc.'!N82,"")</f>
        <v>0.19795683019358271</v>
      </c>
      <c r="O167" s="195">
        <f>IFERROR(O125/'1.Red. Purch. Cost Vasc.'!O82,"")</f>
        <v>0.21559654773558512</v>
      </c>
      <c r="P167" s="281">
        <f>IFERROR(P125/'1.Red. Purch. Cost Vasc.'!P82,"")</f>
        <v>0.23480812129618181</v>
      </c>
      <c r="Q167" s="50"/>
      <c r="R167" s="50"/>
      <c r="S167" s="50"/>
      <c r="T167" s="50"/>
      <c r="U167" s="50"/>
      <c r="V167" s="50"/>
      <c r="W167" s="50"/>
      <c r="X167" s="50"/>
      <c r="Y167" s="50"/>
      <c r="Z167" s="50"/>
    </row>
    <row r="168" spans="1:26" ht="15.75" customHeight="1" x14ac:dyDescent="0.35">
      <c r="A168" s="50"/>
      <c r="B168" s="53" t="s">
        <v>173</v>
      </c>
      <c r="C168" s="190" t="s">
        <v>109</v>
      </c>
      <c r="D168" s="195">
        <f>IFERROR(D126/'1.Red. Purch. Cost Vasc.'!D83,"")</f>
        <v>0.1</v>
      </c>
      <c r="E168" s="195">
        <f>IFERROR(E126/'1.Red. Purch. Cost Vasc.'!E83,"")</f>
        <v>0.1</v>
      </c>
      <c r="F168" s="195">
        <f>IFERROR(F126/'1.Red. Purch. Cost Vasc.'!F83,"")</f>
        <v>0.1</v>
      </c>
      <c r="G168" s="195">
        <f>IFERROR(G126/'1.Red. Purch. Cost Vasc.'!G83,"")</f>
        <v>0.10891089108910892</v>
      </c>
      <c r="H168" s="195">
        <f>IFERROR(H126/'1.Red. Purch. Cost Vasc.'!H83,"")</f>
        <v>0.11861582197823746</v>
      </c>
      <c r="I168" s="195">
        <f>IFERROR(I126/'1.Red. Purch. Cost Vasc.'!I83,"")</f>
        <v>0.12918554868916954</v>
      </c>
      <c r="J168" s="195">
        <f>IFERROR(J126/'1.Red. Purch. Cost Vasc.'!J83,"")</f>
        <v>0.14069713223572922</v>
      </c>
      <c r="K168" s="195">
        <f>IFERROR(K126/'1.Red. Purch. Cost Vasc.'!K83,"")</f>
        <v>0.15323450045475462</v>
      </c>
      <c r="L168" s="195">
        <f>IFERROR(L126/'1.Red. Purch. Cost Vasc.'!L83,"")</f>
        <v>0.16688905990121791</v>
      </c>
      <c r="M168" s="195">
        <f>IFERROR(M126/'1.Red. Purch. Cost Vasc.'!M83,"")</f>
        <v>0.18176036226865319</v>
      </c>
      <c r="N168" s="195">
        <f>IFERROR(N126/'1.Red. Purch. Cost Vasc.'!N83,"")</f>
        <v>0.19795683019358271</v>
      </c>
      <c r="O168" s="195">
        <f>IFERROR(O126/'1.Red. Purch. Cost Vasc.'!O83,"")</f>
        <v>0.21559654773558512</v>
      </c>
      <c r="P168" s="281">
        <f>IFERROR(P126/'1.Red. Purch. Cost Vasc.'!P83,"")</f>
        <v>0.23480812129618181</v>
      </c>
      <c r="Q168" s="50"/>
      <c r="R168" s="50"/>
      <c r="S168" s="50"/>
      <c r="T168" s="50"/>
      <c r="U168" s="50"/>
      <c r="V168" s="50"/>
      <c r="W168" s="50"/>
      <c r="X168" s="50"/>
      <c r="Y168" s="50"/>
      <c r="Z168" s="50"/>
    </row>
    <row r="169" spans="1:26" ht="15.75" customHeight="1" x14ac:dyDescent="0.35">
      <c r="A169" s="50"/>
      <c r="B169" s="53" t="s">
        <v>174</v>
      </c>
      <c r="C169" s="190" t="s">
        <v>109</v>
      </c>
      <c r="D169" s="195">
        <f>IFERROR(D127/'1.Red. Purch. Cost Vasc.'!D84,"")</f>
        <v>0.1</v>
      </c>
      <c r="E169" s="195">
        <f>IFERROR(E127/'1.Red. Purch. Cost Vasc.'!E84,"")</f>
        <v>0.1</v>
      </c>
      <c r="F169" s="195">
        <f>IFERROR(F127/'1.Red. Purch. Cost Vasc.'!F84,"")</f>
        <v>0.1</v>
      </c>
      <c r="G169" s="195">
        <f>IFERROR(G127/'1.Red. Purch. Cost Vasc.'!G84,"")</f>
        <v>0.10891089108910892</v>
      </c>
      <c r="H169" s="195">
        <f>IFERROR(H127/'1.Red. Purch. Cost Vasc.'!H84,"")</f>
        <v>0.11861582197823746</v>
      </c>
      <c r="I169" s="195">
        <f>IFERROR(I127/'1.Red. Purch. Cost Vasc.'!I84,"")</f>
        <v>0.12918554868916954</v>
      </c>
      <c r="J169" s="195">
        <f>IFERROR(J127/'1.Red. Purch. Cost Vasc.'!J84,"")</f>
        <v>0.14069713223572922</v>
      </c>
      <c r="K169" s="195">
        <f>IFERROR(K127/'1.Red. Purch. Cost Vasc.'!K84,"")</f>
        <v>0.15323450045475462</v>
      </c>
      <c r="L169" s="195">
        <f>IFERROR(L127/'1.Red. Purch. Cost Vasc.'!L84,"")</f>
        <v>0.16688905990121791</v>
      </c>
      <c r="M169" s="195">
        <f>IFERROR(M127/'1.Red. Purch. Cost Vasc.'!M84,"")</f>
        <v>0.18176036226865319</v>
      </c>
      <c r="N169" s="195">
        <f>IFERROR(N127/'1.Red. Purch. Cost Vasc.'!N84,"")</f>
        <v>0.19795683019358271</v>
      </c>
      <c r="O169" s="195">
        <f>IFERROR(O127/'1.Red. Purch. Cost Vasc.'!O84,"")</f>
        <v>0.21559654773558512</v>
      </c>
      <c r="P169" s="281">
        <f>IFERROR(P127/'1.Red. Purch. Cost Vasc.'!P84,"")</f>
        <v>0.23480812129618181</v>
      </c>
      <c r="Q169" s="50"/>
      <c r="R169" s="50"/>
      <c r="S169" s="50"/>
      <c r="T169" s="50"/>
      <c r="U169" s="50"/>
      <c r="V169" s="50"/>
      <c r="W169" s="50"/>
      <c r="X169" s="50"/>
      <c r="Y169" s="50"/>
      <c r="Z169" s="50"/>
    </row>
    <row r="170" spans="1:26" ht="15.75" customHeight="1" x14ac:dyDescent="0.35">
      <c r="A170" s="50"/>
      <c r="B170" s="53" t="s">
        <v>175</v>
      </c>
      <c r="C170" s="190" t="s">
        <v>109</v>
      </c>
      <c r="D170" s="195">
        <f>IFERROR(D128/'1.Red. Purch. Cost Vasc.'!D85,"")</f>
        <v>0.1</v>
      </c>
      <c r="E170" s="195">
        <f>IFERROR(E128/'1.Red. Purch. Cost Vasc.'!E85,"")</f>
        <v>0.1</v>
      </c>
      <c r="F170" s="195">
        <f>IFERROR(F128/'1.Red. Purch. Cost Vasc.'!F85,"")</f>
        <v>0.1</v>
      </c>
      <c r="G170" s="195">
        <f>IFERROR(G128/'1.Red. Purch. Cost Vasc.'!G85,"")</f>
        <v>0.10891089108910892</v>
      </c>
      <c r="H170" s="195">
        <f>IFERROR(H128/'1.Red. Purch. Cost Vasc.'!H85,"")</f>
        <v>0.11861582197823746</v>
      </c>
      <c r="I170" s="195">
        <f>IFERROR(I128/'1.Red. Purch. Cost Vasc.'!I85,"")</f>
        <v>0.12918554868916954</v>
      </c>
      <c r="J170" s="195">
        <f>IFERROR(J128/'1.Red. Purch. Cost Vasc.'!J85,"")</f>
        <v>0.14069713223572922</v>
      </c>
      <c r="K170" s="195">
        <f>IFERROR(K128/'1.Red. Purch. Cost Vasc.'!K85,"")</f>
        <v>0.15323450045475462</v>
      </c>
      <c r="L170" s="195">
        <f>IFERROR(L128/'1.Red. Purch. Cost Vasc.'!L85,"")</f>
        <v>0.16688905990121791</v>
      </c>
      <c r="M170" s="195">
        <f>IFERROR(M128/'1.Red. Purch. Cost Vasc.'!M85,"")</f>
        <v>0.18176036226865319</v>
      </c>
      <c r="N170" s="195">
        <f>IFERROR(N128/'1.Red. Purch. Cost Vasc.'!N85,"")</f>
        <v>0.19795683019358271</v>
      </c>
      <c r="O170" s="195">
        <f>IFERROR(O128/'1.Red. Purch. Cost Vasc.'!O85,"")</f>
        <v>0.21559654773558512</v>
      </c>
      <c r="P170" s="281">
        <f>IFERROR(P128/'1.Red. Purch. Cost Vasc.'!P85,"")</f>
        <v>0.23480812129618181</v>
      </c>
      <c r="Q170" s="50"/>
      <c r="R170" s="50"/>
      <c r="S170" s="50"/>
      <c r="T170" s="50"/>
      <c r="U170" s="50"/>
      <c r="V170" s="50"/>
      <c r="W170" s="50"/>
      <c r="X170" s="50"/>
      <c r="Y170" s="50"/>
      <c r="Z170" s="50"/>
    </row>
    <row r="171" spans="1:26" ht="15.75" customHeight="1" x14ac:dyDescent="0.35">
      <c r="A171" s="50"/>
      <c r="B171" s="53" t="s">
        <v>176</v>
      </c>
      <c r="C171" s="190" t="s">
        <v>109</v>
      </c>
      <c r="D171" s="195">
        <f>IFERROR(D129/'1.Red. Purch. Cost Vasc.'!D86,"")</f>
        <v>0.1</v>
      </c>
      <c r="E171" s="195">
        <f>IFERROR(E129/'1.Red. Purch. Cost Vasc.'!E86,"")</f>
        <v>0.1</v>
      </c>
      <c r="F171" s="195">
        <f>IFERROR(F129/'1.Red. Purch. Cost Vasc.'!F86,"")</f>
        <v>0.1</v>
      </c>
      <c r="G171" s="195">
        <f>IFERROR(G129/'1.Red. Purch. Cost Vasc.'!G86,"")</f>
        <v>0.10891089108910892</v>
      </c>
      <c r="H171" s="195">
        <f>IFERROR(H129/'1.Red. Purch. Cost Vasc.'!H86,"")</f>
        <v>0.11861582197823746</v>
      </c>
      <c r="I171" s="195">
        <f>IFERROR(I129/'1.Red. Purch. Cost Vasc.'!I86,"")</f>
        <v>0.12918554868916954</v>
      </c>
      <c r="J171" s="195">
        <f>IFERROR(J129/'1.Red. Purch. Cost Vasc.'!J86,"")</f>
        <v>0.14069713223572922</v>
      </c>
      <c r="K171" s="195">
        <f>IFERROR(K129/'1.Red. Purch. Cost Vasc.'!K86,"")</f>
        <v>0.15323450045475462</v>
      </c>
      <c r="L171" s="195">
        <f>IFERROR(L129/'1.Red. Purch. Cost Vasc.'!L86,"")</f>
        <v>0.16688905990121791</v>
      </c>
      <c r="M171" s="195">
        <f>IFERROR(M129/'1.Red. Purch. Cost Vasc.'!M86,"")</f>
        <v>0.18176036226865319</v>
      </c>
      <c r="N171" s="195">
        <f>IFERROR(N129/'1.Red. Purch. Cost Vasc.'!N86,"")</f>
        <v>0.19795683019358271</v>
      </c>
      <c r="O171" s="195">
        <f>IFERROR(O129/'1.Red. Purch. Cost Vasc.'!O86,"")</f>
        <v>0.21559654773558512</v>
      </c>
      <c r="P171" s="281">
        <f>IFERROR(P129/'1.Red. Purch. Cost Vasc.'!P86,"")</f>
        <v>0.23480812129618181</v>
      </c>
      <c r="Q171" s="50"/>
      <c r="R171" s="50"/>
      <c r="S171" s="50"/>
      <c r="T171" s="50"/>
      <c r="U171" s="50"/>
      <c r="V171" s="50"/>
      <c r="W171" s="50"/>
      <c r="X171" s="50"/>
      <c r="Y171" s="50"/>
      <c r="Z171" s="50"/>
    </row>
    <row r="172" spans="1:26" ht="15.75" customHeight="1" x14ac:dyDescent="0.35">
      <c r="A172" s="50"/>
      <c r="B172" s="198" t="s">
        <v>221</v>
      </c>
      <c r="C172" s="291" t="s">
        <v>109</v>
      </c>
      <c r="D172" s="283">
        <f>IFERROR(D130/'1.Red. Purch. Cost Vasc.'!D87,"")</f>
        <v>0.1</v>
      </c>
      <c r="E172" s="283">
        <f>IFERROR(E130/'1.Red. Purch. Cost Vasc.'!E87,"")</f>
        <v>0.1</v>
      </c>
      <c r="F172" s="283">
        <f>IFERROR(F130/'1.Red. Purch. Cost Vasc.'!F87,"")</f>
        <v>0.1</v>
      </c>
      <c r="G172" s="283">
        <f>IFERROR(G130/'1.Red. Purch. Cost Vasc.'!G87,"")</f>
        <v>0.10891089108910894</v>
      </c>
      <c r="H172" s="283">
        <f>IFERROR(H130/'1.Red. Purch. Cost Vasc.'!H87,"")</f>
        <v>0.11861582197823743</v>
      </c>
      <c r="I172" s="283">
        <f>IFERROR(I130/'1.Red. Purch. Cost Vasc.'!I87,"")</f>
        <v>0.12918554868916959</v>
      </c>
      <c r="J172" s="283">
        <f>IFERROR(J130/'1.Red. Purch. Cost Vasc.'!J87,"")</f>
        <v>0.14069713223572924</v>
      </c>
      <c r="K172" s="283">
        <f>IFERROR(K130/'1.Red. Purch. Cost Vasc.'!K87,"")</f>
        <v>0.15323450045475465</v>
      </c>
      <c r="L172" s="283">
        <f>IFERROR(L130/'1.Red. Purch. Cost Vasc.'!L87,"")</f>
        <v>0.16688905990121791</v>
      </c>
      <c r="M172" s="283">
        <f>IFERROR(M130/'1.Red. Purch. Cost Vasc.'!M87,"")</f>
        <v>0.18176036226865316</v>
      </c>
      <c r="N172" s="283">
        <f>IFERROR(N130/'1.Red. Purch. Cost Vasc.'!N87,"")</f>
        <v>0.19795683019358262</v>
      </c>
      <c r="O172" s="283">
        <f>IFERROR(O130/'1.Red. Purch. Cost Vasc.'!O87,"")</f>
        <v>0.21559654773558512</v>
      </c>
      <c r="P172" s="284">
        <f>IFERROR(P130/'1.Red. Purch. Cost Vasc.'!P87,"")</f>
        <v>0.23480812129618181</v>
      </c>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63"/>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63"/>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63"/>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63"/>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63"/>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63"/>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63"/>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63"/>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63"/>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63"/>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63"/>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63"/>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63"/>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63"/>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63"/>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63"/>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63"/>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63"/>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63"/>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63"/>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63"/>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63"/>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63"/>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63"/>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63"/>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63"/>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
      <c r="C244" s="262"/>
    </row>
    <row r="245" spans="1:26" ht="15.75" customHeight="1" x14ac:dyDescent="0.3">
      <c r="C245" s="262"/>
    </row>
    <row r="246" spans="1:26" ht="15.75" customHeight="1" x14ac:dyDescent="0.3">
      <c r="C246" s="262"/>
    </row>
    <row r="247" spans="1:26" ht="15.75" customHeight="1" x14ac:dyDescent="0.3">
      <c r="C247" s="262"/>
    </row>
    <row r="248" spans="1:26" ht="15.75" customHeight="1" x14ac:dyDescent="0.3">
      <c r="C248" s="262"/>
    </row>
    <row r="249" spans="1:26" ht="15.75" customHeight="1" x14ac:dyDescent="0.3">
      <c r="C249" s="262"/>
    </row>
    <row r="250" spans="1:26" ht="15.75" customHeight="1" x14ac:dyDescent="0.3">
      <c r="C250" s="262"/>
    </row>
    <row r="251" spans="1:26" ht="15.75" customHeight="1" x14ac:dyDescent="0.3">
      <c r="C251" s="262"/>
    </row>
    <row r="252" spans="1:26" ht="15.75" customHeight="1" x14ac:dyDescent="0.3">
      <c r="C252" s="262"/>
    </row>
    <row r="253" spans="1:26" ht="15.75" customHeight="1" x14ac:dyDescent="0.3">
      <c r="C253" s="262"/>
    </row>
    <row r="254" spans="1:26" ht="15.75" customHeight="1" x14ac:dyDescent="0.3">
      <c r="C254" s="262"/>
    </row>
    <row r="255" spans="1:26" ht="15.75" customHeight="1" x14ac:dyDescent="0.3">
      <c r="C255" s="262"/>
    </row>
    <row r="256" spans="1:26" ht="15.75" customHeight="1" x14ac:dyDescent="0.3">
      <c r="C256" s="262"/>
    </row>
    <row r="257" spans="3:3" ht="15.75" customHeight="1" x14ac:dyDescent="0.3">
      <c r="C257" s="262"/>
    </row>
    <row r="258" spans="3:3" ht="15.75" customHeight="1" x14ac:dyDescent="0.3">
      <c r="C258" s="262"/>
    </row>
    <row r="259" spans="3:3" ht="15.75" customHeight="1" x14ac:dyDescent="0.3">
      <c r="C259" s="262"/>
    </row>
    <row r="260" spans="3:3" ht="15.75" customHeight="1" x14ac:dyDescent="0.3">
      <c r="C260" s="262"/>
    </row>
    <row r="261" spans="3:3" ht="15.75" customHeight="1" x14ac:dyDescent="0.3">
      <c r="C261" s="262"/>
    </row>
    <row r="262" spans="3:3" ht="15.75" customHeight="1" x14ac:dyDescent="0.3">
      <c r="C262" s="262"/>
    </row>
    <row r="263" spans="3:3" ht="15.75" customHeight="1" x14ac:dyDescent="0.3">
      <c r="C263" s="262"/>
    </row>
    <row r="264" spans="3:3" ht="15.75" customHeight="1" x14ac:dyDescent="0.3">
      <c r="C264" s="262"/>
    </row>
    <row r="265" spans="3:3" ht="15.75" customHeight="1" x14ac:dyDescent="0.3">
      <c r="C265" s="262"/>
    </row>
    <row r="266" spans="3:3" ht="15.75" customHeight="1" x14ac:dyDescent="0.3">
      <c r="C266" s="262"/>
    </row>
    <row r="267" spans="3:3" ht="15.75" customHeight="1" x14ac:dyDescent="0.3">
      <c r="C267" s="262"/>
    </row>
    <row r="268" spans="3:3" ht="15.75" customHeight="1" x14ac:dyDescent="0.3">
      <c r="C268" s="262"/>
    </row>
    <row r="269" spans="3:3" ht="15.75" customHeight="1" x14ac:dyDescent="0.3">
      <c r="C269" s="262"/>
    </row>
    <row r="270" spans="3:3" ht="15.75" customHeight="1" x14ac:dyDescent="0.3">
      <c r="C270" s="262"/>
    </row>
    <row r="271" spans="3:3" ht="15.75" customHeight="1" x14ac:dyDescent="0.3">
      <c r="C271" s="262"/>
    </row>
    <row r="272" spans="3:3" ht="15.75" customHeight="1" x14ac:dyDescent="0.3">
      <c r="C272" s="262"/>
    </row>
    <row r="273" spans="3:3" ht="15.75" customHeight="1" x14ac:dyDescent="0.3">
      <c r="C273" s="262"/>
    </row>
    <row r="274" spans="3:3" ht="15.75" customHeight="1" x14ac:dyDescent="0.3">
      <c r="C274" s="262"/>
    </row>
    <row r="275" spans="3:3" ht="15.75" customHeight="1" x14ac:dyDescent="0.3">
      <c r="C275" s="262"/>
    </row>
    <row r="276" spans="3:3" ht="15.75" customHeight="1" x14ac:dyDescent="0.3">
      <c r="C276" s="262"/>
    </row>
    <row r="277" spans="3:3" ht="15.75" customHeight="1" x14ac:dyDescent="0.3">
      <c r="C277" s="262"/>
    </row>
    <row r="278" spans="3:3" ht="15.75" customHeight="1" x14ac:dyDescent="0.3">
      <c r="C278" s="262"/>
    </row>
    <row r="279" spans="3:3" ht="15.75" customHeight="1" x14ac:dyDescent="0.3">
      <c r="C279" s="262"/>
    </row>
    <row r="280" spans="3:3" ht="15.75" customHeight="1" x14ac:dyDescent="0.3">
      <c r="C280" s="262"/>
    </row>
    <row r="281" spans="3:3" ht="15.75" customHeight="1" x14ac:dyDescent="0.3">
      <c r="C281" s="262"/>
    </row>
    <row r="282" spans="3:3" ht="15.75" customHeight="1" x14ac:dyDescent="0.3">
      <c r="C282" s="262"/>
    </row>
    <row r="283" spans="3:3" ht="15.75" customHeight="1" x14ac:dyDescent="0.3">
      <c r="C283" s="262"/>
    </row>
    <row r="284" spans="3:3" ht="15.75" customHeight="1" x14ac:dyDescent="0.3">
      <c r="C284" s="262"/>
    </row>
    <row r="285" spans="3:3" ht="15.75" customHeight="1" x14ac:dyDescent="0.3">
      <c r="C285" s="262"/>
    </row>
    <row r="286" spans="3:3" ht="15.75" customHeight="1" x14ac:dyDescent="0.3">
      <c r="C286" s="262"/>
    </row>
    <row r="287" spans="3:3" ht="15.75" customHeight="1" x14ac:dyDescent="0.3">
      <c r="C287" s="262"/>
    </row>
    <row r="288" spans="3:3" ht="15.75" customHeight="1" x14ac:dyDescent="0.3">
      <c r="C288" s="262"/>
    </row>
    <row r="289" spans="3:3" ht="15.75" customHeight="1" x14ac:dyDescent="0.3">
      <c r="C289" s="262"/>
    </row>
    <row r="290" spans="3:3" ht="15.75" customHeight="1" x14ac:dyDescent="0.3">
      <c r="C290" s="262"/>
    </row>
    <row r="291" spans="3:3" ht="15.75" customHeight="1" x14ac:dyDescent="0.3">
      <c r="C291" s="262"/>
    </row>
    <row r="292" spans="3:3" ht="15.75" customHeight="1" x14ac:dyDescent="0.3">
      <c r="C292" s="262"/>
    </row>
    <row r="293" spans="3:3" ht="15.75" customHeight="1" x14ac:dyDescent="0.3">
      <c r="C293" s="262"/>
    </row>
    <row r="294" spans="3:3" ht="15.75" customHeight="1" x14ac:dyDescent="0.3">
      <c r="C294" s="262"/>
    </row>
    <row r="295" spans="3:3" ht="15.75" customHeight="1" x14ac:dyDescent="0.3">
      <c r="C295" s="262"/>
    </row>
    <row r="296" spans="3:3" ht="15.75" customHeight="1" x14ac:dyDescent="0.3">
      <c r="C296" s="262"/>
    </row>
    <row r="297" spans="3:3" ht="15.75" customHeight="1" x14ac:dyDescent="0.3">
      <c r="C297" s="262"/>
    </row>
    <row r="298" spans="3:3" ht="15.75" customHeight="1" x14ac:dyDescent="0.3">
      <c r="C298" s="262"/>
    </row>
    <row r="299" spans="3:3" ht="15.75" customHeight="1" x14ac:dyDescent="0.3">
      <c r="C299" s="262"/>
    </row>
    <row r="300" spans="3:3" ht="15.75" customHeight="1" x14ac:dyDescent="0.3">
      <c r="C300" s="262"/>
    </row>
    <row r="301" spans="3:3" ht="15.75" customHeight="1" x14ac:dyDescent="0.3">
      <c r="C301" s="262"/>
    </row>
    <row r="302" spans="3:3" ht="15.75" customHeight="1" x14ac:dyDescent="0.3">
      <c r="C302" s="262"/>
    </row>
    <row r="303" spans="3:3" ht="15.75" customHeight="1" x14ac:dyDescent="0.3">
      <c r="C303" s="262"/>
    </row>
    <row r="304" spans="3:3" ht="15.75" customHeight="1" x14ac:dyDescent="0.3">
      <c r="C304" s="262"/>
    </row>
    <row r="305" spans="3:3" ht="15.75" customHeight="1" x14ac:dyDescent="0.3">
      <c r="C305" s="262"/>
    </row>
    <row r="306" spans="3:3" ht="15.75" customHeight="1" x14ac:dyDescent="0.3">
      <c r="C306" s="262"/>
    </row>
    <row r="307" spans="3:3" ht="15.75" customHeight="1" x14ac:dyDescent="0.3">
      <c r="C307" s="262"/>
    </row>
    <row r="308" spans="3:3" ht="15.75" customHeight="1" x14ac:dyDescent="0.3">
      <c r="C308" s="262"/>
    </row>
    <row r="309" spans="3:3" ht="15.75" customHeight="1" x14ac:dyDescent="0.3">
      <c r="C309" s="262"/>
    </row>
    <row r="310" spans="3:3" ht="15.75" customHeight="1" x14ac:dyDescent="0.3">
      <c r="C310" s="262"/>
    </row>
    <row r="311" spans="3:3" ht="15.75" customHeight="1" x14ac:dyDescent="0.3">
      <c r="C311" s="262"/>
    </row>
    <row r="312" spans="3:3" ht="15.75" customHeight="1" x14ac:dyDescent="0.3">
      <c r="C312" s="262"/>
    </row>
    <row r="313" spans="3:3" ht="15.75" customHeight="1" x14ac:dyDescent="0.3">
      <c r="C313" s="262"/>
    </row>
    <row r="314" spans="3:3" ht="15.75" customHeight="1" x14ac:dyDescent="0.3">
      <c r="C314" s="262"/>
    </row>
    <row r="315" spans="3:3" ht="15.75" customHeight="1" x14ac:dyDescent="0.3">
      <c r="C315" s="262"/>
    </row>
    <row r="316" spans="3:3" ht="15.75" customHeight="1" x14ac:dyDescent="0.3">
      <c r="C316" s="262"/>
    </row>
    <row r="317" spans="3:3" ht="15.75" customHeight="1" x14ac:dyDescent="0.3">
      <c r="C317" s="262"/>
    </row>
    <row r="318" spans="3:3" ht="15.75" customHeight="1" x14ac:dyDescent="0.3">
      <c r="C318" s="262"/>
    </row>
    <row r="319" spans="3:3" ht="15.75" customHeight="1" x14ac:dyDescent="0.3">
      <c r="C319" s="262"/>
    </row>
    <row r="320" spans="3:3" ht="15.75" customHeight="1" x14ac:dyDescent="0.3">
      <c r="C320" s="262"/>
    </row>
    <row r="321" spans="3:3" ht="15.75" customHeight="1" x14ac:dyDescent="0.3">
      <c r="C321" s="262"/>
    </row>
    <row r="322" spans="3:3" ht="15.75" customHeight="1" x14ac:dyDescent="0.3">
      <c r="C322" s="262"/>
    </row>
    <row r="323" spans="3:3" ht="15.75" customHeight="1" x14ac:dyDescent="0.3">
      <c r="C323" s="262"/>
    </row>
    <row r="324" spans="3:3" ht="15.75" customHeight="1" x14ac:dyDescent="0.3">
      <c r="C324" s="262"/>
    </row>
    <row r="325" spans="3:3" ht="15.75" customHeight="1" x14ac:dyDescent="0.3">
      <c r="C325" s="262"/>
    </row>
    <row r="326" spans="3:3" ht="15.75" customHeight="1" x14ac:dyDescent="0.3">
      <c r="C326" s="262"/>
    </row>
    <row r="327" spans="3:3" ht="15.75" customHeight="1" x14ac:dyDescent="0.3">
      <c r="C327" s="262"/>
    </row>
    <row r="328" spans="3:3" ht="15.75" customHeight="1" x14ac:dyDescent="0.3">
      <c r="C328" s="262"/>
    </row>
    <row r="329" spans="3:3" ht="15.75" customHeight="1" x14ac:dyDescent="0.3">
      <c r="C329" s="262"/>
    </row>
    <row r="330" spans="3:3" ht="15.75" customHeight="1" x14ac:dyDescent="0.3">
      <c r="C330" s="262"/>
    </row>
    <row r="331" spans="3:3" ht="15.75" customHeight="1" x14ac:dyDescent="0.3">
      <c r="C331" s="262"/>
    </row>
    <row r="332" spans="3:3" ht="15.75" customHeight="1" x14ac:dyDescent="0.3">
      <c r="C332" s="262"/>
    </row>
    <row r="333" spans="3:3" ht="15.75" customHeight="1" x14ac:dyDescent="0.3">
      <c r="C333" s="262"/>
    </row>
    <row r="334" spans="3:3" ht="15.75" customHeight="1" x14ac:dyDescent="0.3">
      <c r="C334" s="262"/>
    </row>
    <row r="335" spans="3:3" ht="15.75" customHeight="1" x14ac:dyDescent="0.3">
      <c r="C335" s="262"/>
    </row>
    <row r="336" spans="3:3" ht="15.75" customHeight="1" x14ac:dyDescent="0.3">
      <c r="C336" s="262"/>
    </row>
    <row r="337" spans="3:3" ht="15.75" customHeight="1" x14ac:dyDescent="0.3">
      <c r="C337" s="262"/>
    </row>
    <row r="338" spans="3:3" ht="15.75" customHeight="1" x14ac:dyDescent="0.3">
      <c r="C338" s="262"/>
    </row>
    <row r="339" spans="3:3" ht="15.75" customHeight="1" x14ac:dyDescent="0.3">
      <c r="C339" s="262"/>
    </row>
    <row r="340" spans="3:3" ht="15.75" customHeight="1" x14ac:dyDescent="0.3">
      <c r="C340" s="262"/>
    </row>
    <row r="341" spans="3:3" ht="15.75" customHeight="1" x14ac:dyDescent="0.3">
      <c r="C341" s="262"/>
    </row>
    <row r="342" spans="3:3" ht="15.75" customHeight="1" x14ac:dyDescent="0.3">
      <c r="C342" s="262"/>
    </row>
    <row r="343" spans="3:3" ht="15.75" customHeight="1" x14ac:dyDescent="0.3">
      <c r="C343" s="262"/>
    </row>
    <row r="344" spans="3:3" ht="15.75" customHeight="1" x14ac:dyDescent="0.3">
      <c r="C344" s="262"/>
    </row>
    <row r="345" spans="3:3" ht="15.75" customHeight="1" x14ac:dyDescent="0.3">
      <c r="C345" s="262"/>
    </row>
    <row r="346" spans="3:3" ht="15.75" customHeight="1" x14ac:dyDescent="0.3">
      <c r="C346" s="262"/>
    </row>
    <row r="347" spans="3:3" ht="15.75" customHeight="1" x14ac:dyDescent="0.3">
      <c r="C347" s="262"/>
    </row>
    <row r="348" spans="3:3" ht="15.75" customHeight="1" x14ac:dyDescent="0.3">
      <c r="C348" s="262"/>
    </row>
    <row r="349" spans="3:3" ht="15.75" customHeight="1" x14ac:dyDescent="0.3">
      <c r="C349" s="262"/>
    </row>
    <row r="350" spans="3:3" ht="15.75" customHeight="1" x14ac:dyDescent="0.3">
      <c r="C350" s="262"/>
    </row>
    <row r="351" spans="3:3" ht="15.75" customHeight="1" x14ac:dyDescent="0.3">
      <c r="C351" s="262"/>
    </row>
    <row r="352" spans="3:3" ht="15.75" customHeight="1" x14ac:dyDescent="0.3">
      <c r="C352" s="262"/>
    </row>
    <row r="353" spans="3:3" ht="15.75" customHeight="1" x14ac:dyDescent="0.3">
      <c r="C353" s="262"/>
    </row>
    <row r="354" spans="3:3" ht="15.75" customHeight="1" x14ac:dyDescent="0.3">
      <c r="C354" s="262"/>
    </row>
    <row r="355" spans="3:3" ht="15.75" customHeight="1" x14ac:dyDescent="0.3">
      <c r="C355" s="262"/>
    </row>
    <row r="356" spans="3:3" ht="15.75" customHeight="1" x14ac:dyDescent="0.3">
      <c r="C356" s="262"/>
    </row>
    <row r="357" spans="3:3" ht="15.75" customHeight="1" x14ac:dyDescent="0.3">
      <c r="C357" s="262"/>
    </row>
    <row r="358" spans="3:3" ht="15.75" customHeight="1" x14ac:dyDescent="0.3">
      <c r="C358" s="262"/>
    </row>
    <row r="359" spans="3:3" ht="15.75" customHeight="1" x14ac:dyDescent="0.3">
      <c r="C359" s="262"/>
    </row>
    <row r="360" spans="3:3" ht="15.75" customHeight="1" x14ac:dyDescent="0.3">
      <c r="C360" s="262"/>
    </row>
    <row r="361" spans="3:3" ht="15.75" customHeight="1" x14ac:dyDescent="0.3">
      <c r="C361" s="262"/>
    </row>
    <row r="362" spans="3:3" ht="15.75" customHeight="1" x14ac:dyDescent="0.3">
      <c r="C362" s="262"/>
    </row>
    <row r="363" spans="3:3" ht="15.75" customHeight="1" x14ac:dyDescent="0.3">
      <c r="C363" s="262"/>
    </row>
    <row r="364" spans="3:3" ht="15.75" customHeight="1" x14ac:dyDescent="0.3">
      <c r="C364" s="262"/>
    </row>
    <row r="365" spans="3:3" ht="15.75" customHeight="1" x14ac:dyDescent="0.3">
      <c r="C365" s="262"/>
    </row>
    <row r="366" spans="3:3" ht="15.75" customHeight="1" x14ac:dyDescent="0.3">
      <c r="C366" s="262"/>
    </row>
    <row r="367" spans="3:3" ht="15.75" customHeight="1" x14ac:dyDescent="0.3">
      <c r="C367" s="262"/>
    </row>
    <row r="368" spans="3:3" ht="15.75" customHeight="1" x14ac:dyDescent="0.3">
      <c r="C368" s="262"/>
    </row>
    <row r="369" spans="3:3" ht="15.75" customHeight="1" x14ac:dyDescent="0.3">
      <c r="C369" s="262"/>
    </row>
    <row r="370" spans="3:3" ht="15.75" customHeight="1" x14ac:dyDescent="0.3">
      <c r="C370" s="262"/>
    </row>
    <row r="371" spans="3:3" ht="15.75" customHeight="1" x14ac:dyDescent="0.3">
      <c r="C371" s="262"/>
    </row>
    <row r="372" spans="3:3" ht="15.75" customHeight="1" x14ac:dyDescent="0.3">
      <c r="C372" s="262"/>
    </row>
    <row r="373" spans="3:3" ht="15.75" customHeight="1" x14ac:dyDescent="0.3"/>
    <row r="374" spans="3:3" ht="15.75" customHeight="1" x14ac:dyDescent="0.3"/>
    <row r="375" spans="3:3" ht="15.75" customHeight="1" x14ac:dyDescent="0.3"/>
    <row r="376" spans="3:3" ht="15.75" customHeight="1" x14ac:dyDescent="0.3"/>
    <row r="377" spans="3:3" ht="15.75" customHeight="1" x14ac:dyDescent="0.3"/>
    <row r="378" spans="3:3" ht="15.75" customHeight="1" x14ac:dyDescent="0.3"/>
    <row r="379" spans="3:3" ht="15.75" customHeight="1" x14ac:dyDescent="0.3"/>
    <row r="380" spans="3:3" ht="15.75" customHeight="1" x14ac:dyDescent="0.3"/>
    <row r="381" spans="3:3" ht="15.75" customHeight="1" x14ac:dyDescent="0.3"/>
    <row r="382" spans="3:3" ht="15.75" customHeight="1" x14ac:dyDescent="0.3"/>
    <row r="383" spans="3:3" ht="15.75" customHeight="1" x14ac:dyDescent="0.3"/>
    <row r="384" spans="3:3"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row r="1005" ht="15.75" customHeight="1" x14ac:dyDescent="0.3"/>
    <row r="1006" ht="15.75" customHeight="1" x14ac:dyDescent="0.3"/>
    <row r="1007" ht="15.75" customHeight="1" x14ac:dyDescent="0.3"/>
    <row r="1008" ht="15.75" customHeight="1" x14ac:dyDescent="0.3"/>
    <row r="1009" ht="15.75" customHeight="1" x14ac:dyDescent="0.3"/>
    <row r="1010" ht="15.75" customHeight="1" x14ac:dyDescent="0.3"/>
    <row r="1011" ht="15.75" customHeight="1" x14ac:dyDescent="0.3"/>
    <row r="1012" ht="15.75" customHeight="1" x14ac:dyDescent="0.3"/>
    <row r="1013" ht="15.75" customHeight="1" x14ac:dyDescent="0.3"/>
    <row r="1014" ht="15.75" customHeight="1" x14ac:dyDescent="0.3"/>
    <row r="1015" ht="15.75" customHeight="1" x14ac:dyDescent="0.3"/>
    <row r="1016" ht="15.75" customHeight="1" x14ac:dyDescent="0.3"/>
    <row r="1017" ht="15.75" customHeight="1" x14ac:dyDescent="0.3"/>
    <row r="1018" ht="15.75" customHeight="1" x14ac:dyDescent="0.3"/>
    <row r="1019" ht="15.75" customHeight="1" x14ac:dyDescent="0.3"/>
    <row r="1020" ht="15.75" customHeight="1" x14ac:dyDescent="0.3"/>
    <row r="1021" ht="15.75" customHeight="1" x14ac:dyDescent="0.3"/>
    <row r="1022" ht="15.75" customHeight="1" x14ac:dyDescent="0.3"/>
    <row r="1023" ht="15.75" customHeight="1" x14ac:dyDescent="0.3"/>
    <row r="1024" ht="15.75" customHeight="1" x14ac:dyDescent="0.3"/>
    <row r="1025" ht="15.75" customHeight="1" x14ac:dyDescent="0.3"/>
    <row r="1026" ht="15.75" customHeight="1" x14ac:dyDescent="0.3"/>
    <row r="1027" ht="15.75" customHeight="1" x14ac:dyDescent="0.3"/>
    <row r="1028" ht="15.75" customHeight="1" x14ac:dyDescent="0.3"/>
    <row r="1029" ht="15.75" customHeight="1" x14ac:dyDescent="0.3"/>
    <row r="1030" ht="15.75" customHeight="1" x14ac:dyDescent="0.3"/>
    <row r="1031" ht="15.75" customHeight="1" x14ac:dyDescent="0.3"/>
    <row r="1032" ht="15.75" customHeight="1" x14ac:dyDescent="0.3"/>
    <row r="1033" ht="15.75" customHeight="1" x14ac:dyDescent="0.3"/>
    <row r="1034" ht="15.75" customHeight="1" x14ac:dyDescent="0.3"/>
    <row r="1035" ht="15.75" customHeight="1" x14ac:dyDescent="0.3"/>
    <row r="1036" ht="15.75" customHeight="1" x14ac:dyDescent="0.3"/>
    <row r="1037" ht="15.75" customHeight="1" x14ac:dyDescent="0.3"/>
    <row r="1038" ht="15.75" customHeight="1" x14ac:dyDescent="0.3"/>
    <row r="1039" ht="15.75" customHeight="1" x14ac:dyDescent="0.3"/>
    <row r="1040" ht="15.75" customHeight="1" x14ac:dyDescent="0.3"/>
    <row r="1041" ht="15.75" customHeight="1" x14ac:dyDescent="0.3"/>
    <row r="1042" ht="15.75" customHeight="1" x14ac:dyDescent="0.3"/>
    <row r="1043" ht="15.75" customHeight="1" x14ac:dyDescent="0.3"/>
    <row r="1044" ht="15.75" customHeight="1" x14ac:dyDescent="0.3"/>
    <row r="1045" ht="15.75" customHeight="1" x14ac:dyDescent="0.3"/>
    <row r="1046" ht="15.75" customHeight="1" x14ac:dyDescent="0.3"/>
    <row r="1047" ht="15.75" customHeight="1" x14ac:dyDescent="0.3"/>
    <row r="1048" ht="15.75" customHeight="1" x14ac:dyDescent="0.3"/>
    <row r="1049" ht="15.75" customHeight="1" x14ac:dyDescent="0.3"/>
    <row r="1050" ht="15.75" customHeight="1" x14ac:dyDescent="0.3"/>
    <row r="1051" ht="15.75" customHeight="1" x14ac:dyDescent="0.3"/>
    <row r="1052" ht="15.75" customHeight="1" x14ac:dyDescent="0.3"/>
    <row r="1053" ht="15.75" customHeight="1" x14ac:dyDescent="0.3"/>
    <row r="1054" ht="15.75" customHeight="1" x14ac:dyDescent="0.3"/>
    <row r="1055" ht="15.75" customHeight="1" x14ac:dyDescent="0.3"/>
    <row r="1056" ht="15.75" customHeight="1" x14ac:dyDescent="0.3"/>
    <row r="1057" ht="15.75" customHeight="1" x14ac:dyDescent="0.3"/>
    <row r="1058" ht="15.75" customHeight="1" x14ac:dyDescent="0.3"/>
    <row r="1059" ht="15.75" customHeight="1" x14ac:dyDescent="0.3"/>
    <row r="1060" ht="15.75" customHeight="1" x14ac:dyDescent="0.3"/>
    <row r="1061" ht="15.75" customHeight="1" x14ac:dyDescent="0.3"/>
    <row r="1062" ht="15.75" customHeight="1" x14ac:dyDescent="0.3"/>
    <row r="1063" ht="15.75" customHeight="1" x14ac:dyDescent="0.3"/>
    <row r="1064" ht="15.75" customHeight="1" x14ac:dyDescent="0.3"/>
    <row r="1065" ht="15.75" customHeight="1" x14ac:dyDescent="0.3"/>
    <row r="1066" ht="15.75" customHeight="1" x14ac:dyDescent="0.3"/>
    <row r="1067" ht="15.75" customHeight="1" x14ac:dyDescent="0.3"/>
    <row r="1068" ht="15.75" customHeight="1" x14ac:dyDescent="0.3"/>
    <row r="1069" ht="15.75" customHeight="1" x14ac:dyDescent="0.3"/>
    <row r="1070" ht="15.75" customHeight="1" x14ac:dyDescent="0.3"/>
    <row r="1071" ht="15.75" customHeight="1" x14ac:dyDescent="0.3"/>
    <row r="1072" ht="15.75" customHeight="1" x14ac:dyDescent="0.3"/>
    <row r="1073" ht="15.75" customHeight="1" x14ac:dyDescent="0.3"/>
  </sheetData>
  <mergeCells count="9">
    <mergeCell ref="G11:L11"/>
    <mergeCell ref="D35:F35"/>
    <mergeCell ref="D116:F116"/>
    <mergeCell ref="D158:F158"/>
    <mergeCell ref="B4:D4"/>
    <mergeCell ref="B5:D5"/>
    <mergeCell ref="B6:D6"/>
    <mergeCell ref="B7:D7"/>
    <mergeCell ref="B8:D8"/>
  </mergeCells>
  <dataValidations count="1">
    <dataValidation type="list" allowBlank="1" showErrorMessage="1" sqref="D27" xr:uid="{00000000-0002-0000-0E00-000000000000}">
      <formula1>"High,Medium,Low"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FF"/>
    <outlinePr summaryBelow="0" summaryRight="0"/>
  </sheetPr>
  <dimension ref="A1:Z998"/>
  <sheetViews>
    <sheetView workbookViewId="0"/>
  </sheetViews>
  <sheetFormatPr defaultColWidth="14.3984375" defaultRowHeight="15" customHeight="1" x14ac:dyDescent="0.3"/>
  <cols>
    <col min="1" max="1" width="12.69921875" customWidth="1"/>
    <col min="2" max="2" width="74.8984375" customWidth="1"/>
    <col min="3" max="3" width="12.8984375" customWidth="1"/>
    <col min="4" max="4" width="16.59765625" customWidth="1"/>
    <col min="5" max="5" width="16.8984375" customWidth="1"/>
    <col min="6" max="7" width="17.09765625" customWidth="1"/>
    <col min="8" max="8" width="16.8984375" customWidth="1"/>
    <col min="9" max="9" width="18.3984375" customWidth="1"/>
    <col min="10" max="10" width="17.3984375" customWidth="1"/>
    <col min="11" max="11" width="17.69921875" customWidth="1"/>
    <col min="12" max="12" width="17.3984375" customWidth="1"/>
    <col min="13" max="13" width="16.3984375" customWidth="1"/>
    <col min="14" max="14" width="16.296875" customWidth="1"/>
    <col min="15" max="15" width="16.3984375" customWidth="1"/>
    <col min="16" max="16" width="18.3984375" customWidth="1"/>
    <col min="17" max="26" width="12.69921875" customWidth="1"/>
  </cols>
  <sheetData>
    <row r="1" spans="1:26" ht="15.5"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254</v>
      </c>
      <c r="C2" s="47"/>
      <c r="D2" s="33" t="s">
        <v>183</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47"/>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320</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85" t="s">
        <v>321</v>
      </c>
      <c r="C6" s="579"/>
      <c r="D6" s="580"/>
      <c r="E6" s="32"/>
      <c r="F6" s="32"/>
      <c r="G6" s="32"/>
      <c r="H6" s="32"/>
      <c r="I6" s="32"/>
      <c r="J6" s="32"/>
      <c r="K6" s="32"/>
      <c r="L6" s="50"/>
      <c r="M6" s="50"/>
      <c r="N6" s="50"/>
      <c r="O6" s="50"/>
      <c r="P6" s="50"/>
      <c r="Q6" s="50"/>
      <c r="R6" s="50"/>
      <c r="S6" s="50"/>
      <c r="T6" s="50"/>
      <c r="U6" s="50"/>
      <c r="V6" s="50"/>
      <c r="W6" s="50"/>
      <c r="X6" s="50"/>
      <c r="Y6" s="50"/>
      <c r="Z6" s="50"/>
    </row>
    <row r="7" spans="1:26" ht="21" customHeight="1" x14ac:dyDescent="0.35">
      <c r="A7" s="50"/>
      <c r="B7" s="556" t="s">
        <v>81</v>
      </c>
      <c r="C7" s="546"/>
      <c r="D7" s="558"/>
      <c r="E7" s="32"/>
      <c r="F7" s="32"/>
      <c r="G7" s="32"/>
      <c r="H7" s="32"/>
      <c r="I7" s="32"/>
      <c r="J7" s="32"/>
      <c r="K7" s="32"/>
      <c r="L7" s="50"/>
      <c r="M7" s="50"/>
      <c r="N7" s="50"/>
      <c r="O7" s="50"/>
      <c r="P7" s="50"/>
      <c r="Q7" s="50"/>
      <c r="R7" s="50"/>
      <c r="S7" s="50"/>
      <c r="T7" s="50"/>
      <c r="U7" s="50"/>
      <c r="V7" s="50"/>
      <c r="W7" s="50"/>
      <c r="X7" s="50"/>
      <c r="Y7" s="50"/>
      <c r="Z7" s="50"/>
    </row>
    <row r="8" spans="1:26" ht="103.5" customHeight="1" x14ac:dyDescent="0.35">
      <c r="A8" s="50"/>
      <c r="B8" s="585" t="s">
        <v>322</v>
      </c>
      <c r="C8" s="579"/>
      <c r="D8" s="580"/>
      <c r="E8" s="32"/>
      <c r="F8" s="32"/>
      <c r="G8" s="32"/>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5"/>
      <c r="J10" s="85"/>
      <c r="K10" s="86"/>
      <c r="L10" s="50"/>
      <c r="M10" s="50"/>
      <c r="N10" s="50"/>
      <c r="O10" s="50"/>
      <c r="P10" s="50"/>
      <c r="Q10" s="50"/>
      <c r="R10" s="50"/>
      <c r="S10" s="50"/>
      <c r="T10" s="50"/>
      <c r="U10" s="50"/>
      <c r="V10" s="50"/>
      <c r="W10" s="50"/>
      <c r="X10" s="50"/>
      <c r="Y10" s="50"/>
      <c r="Z10" s="50"/>
    </row>
    <row r="11" spans="1:26" ht="15.75" customHeight="1" x14ac:dyDescent="0.35">
      <c r="A11" s="50"/>
      <c r="B11" s="96" t="s">
        <v>323</v>
      </c>
      <c r="C11" s="88"/>
      <c r="D11" s="292"/>
      <c r="E11" s="91"/>
      <c r="F11" s="91"/>
      <c r="G11" s="91"/>
      <c r="H11" s="91"/>
      <c r="I11" s="91"/>
      <c r="J11" s="91"/>
      <c r="K11" s="92"/>
      <c r="L11" s="50"/>
      <c r="M11" s="50"/>
      <c r="N11" s="50"/>
      <c r="O11" s="50"/>
      <c r="P11" s="50"/>
      <c r="Q11" s="50"/>
      <c r="R11" s="50"/>
      <c r="S11" s="50"/>
      <c r="T11" s="50"/>
      <c r="U11" s="50"/>
      <c r="V11" s="50"/>
      <c r="W11" s="50"/>
      <c r="X11" s="50"/>
      <c r="Y11" s="50"/>
      <c r="Z11" s="50"/>
    </row>
    <row r="12" spans="1:26" ht="15.75" customHeight="1" x14ac:dyDescent="0.35">
      <c r="A12" s="50"/>
      <c r="B12" s="293" t="s">
        <v>324</v>
      </c>
      <c r="C12" s="229" t="s">
        <v>325</v>
      </c>
      <c r="D12" s="294">
        <f>8.49-4.32</f>
        <v>4.17</v>
      </c>
      <c r="E12" s="586" t="s">
        <v>326</v>
      </c>
      <c r="F12" s="587"/>
      <c r="G12" s="587"/>
      <c r="H12" s="587"/>
      <c r="I12" s="587"/>
      <c r="J12" s="587"/>
      <c r="K12" s="588"/>
      <c r="L12" s="50"/>
      <c r="M12" s="50"/>
      <c r="N12" s="50"/>
      <c r="O12" s="50"/>
      <c r="P12" s="50"/>
      <c r="Q12" s="50"/>
      <c r="R12" s="50"/>
      <c r="S12" s="50"/>
      <c r="T12" s="50"/>
      <c r="U12" s="50"/>
      <c r="V12" s="50"/>
      <c r="W12" s="50"/>
      <c r="X12" s="50"/>
      <c r="Y12" s="50"/>
      <c r="Z12" s="50"/>
    </row>
    <row r="13" spans="1:26" ht="15.75" customHeight="1" x14ac:dyDescent="0.35">
      <c r="A13" s="50"/>
      <c r="B13" s="293" t="s">
        <v>327</v>
      </c>
      <c r="C13" s="229" t="s">
        <v>325</v>
      </c>
      <c r="D13" s="294">
        <f>3.75-2.01</f>
        <v>1.7400000000000002</v>
      </c>
      <c r="E13" s="589"/>
      <c r="F13" s="536"/>
      <c r="G13" s="536"/>
      <c r="H13" s="536"/>
      <c r="I13" s="536"/>
      <c r="J13" s="536"/>
      <c r="K13" s="571"/>
      <c r="L13" s="50"/>
      <c r="M13" s="50"/>
      <c r="N13" s="50"/>
      <c r="O13" s="50"/>
      <c r="P13" s="50"/>
      <c r="Q13" s="50"/>
      <c r="R13" s="50"/>
      <c r="S13" s="50"/>
      <c r="T13" s="50"/>
      <c r="U13" s="50"/>
      <c r="V13" s="50"/>
      <c r="W13" s="50"/>
      <c r="X13" s="50"/>
      <c r="Y13" s="50"/>
      <c r="Z13" s="50"/>
    </row>
    <row r="14" spans="1:26" ht="15.75" customHeight="1" x14ac:dyDescent="0.35">
      <c r="A14" s="50"/>
      <c r="B14" s="293" t="s">
        <v>328</v>
      </c>
      <c r="C14" s="229" t="s">
        <v>325</v>
      </c>
      <c r="D14" s="294">
        <f>1.51-1.01</f>
        <v>0.5</v>
      </c>
      <c r="E14" s="589"/>
      <c r="F14" s="536"/>
      <c r="G14" s="536"/>
      <c r="H14" s="536"/>
      <c r="I14" s="536"/>
      <c r="J14" s="536"/>
      <c r="K14" s="571"/>
      <c r="L14" s="50"/>
      <c r="M14" s="50"/>
      <c r="N14" s="50"/>
      <c r="O14" s="50"/>
      <c r="P14" s="50"/>
      <c r="Q14" s="50"/>
      <c r="R14" s="50"/>
      <c r="S14" s="50"/>
      <c r="T14" s="50"/>
      <c r="U14" s="50"/>
      <c r="V14" s="50"/>
      <c r="W14" s="50"/>
      <c r="X14" s="50"/>
      <c r="Y14" s="50"/>
      <c r="Z14" s="50"/>
    </row>
    <row r="15" spans="1:26" ht="15.75" customHeight="1" x14ac:dyDescent="0.35">
      <c r="A15" s="50"/>
      <c r="B15" s="293" t="s">
        <v>329</v>
      </c>
      <c r="C15" s="229" t="s">
        <v>325</v>
      </c>
      <c r="D15" s="294">
        <f>5.34-4.11</f>
        <v>1.2299999999999995</v>
      </c>
      <c r="E15" s="589"/>
      <c r="F15" s="536"/>
      <c r="G15" s="536"/>
      <c r="H15" s="536"/>
      <c r="I15" s="536"/>
      <c r="J15" s="536"/>
      <c r="K15" s="571"/>
      <c r="L15" s="50"/>
      <c r="M15" s="50"/>
      <c r="N15" s="50"/>
      <c r="O15" s="50"/>
      <c r="P15" s="50"/>
      <c r="Q15" s="50"/>
      <c r="R15" s="50"/>
      <c r="S15" s="50"/>
      <c r="T15" s="50"/>
      <c r="U15" s="50"/>
      <c r="V15" s="50"/>
      <c r="W15" s="50"/>
      <c r="X15" s="50"/>
      <c r="Y15" s="50"/>
      <c r="Z15" s="50"/>
    </row>
    <row r="16" spans="1:26" ht="15.75" customHeight="1" x14ac:dyDescent="0.35">
      <c r="A16" s="50"/>
      <c r="B16" s="293" t="s">
        <v>330</v>
      </c>
      <c r="C16" s="229" t="s">
        <v>325</v>
      </c>
      <c r="D16" s="294">
        <f>0.15-0.07</f>
        <v>7.9999999999999988E-2</v>
      </c>
      <c r="E16" s="590"/>
      <c r="F16" s="591"/>
      <c r="G16" s="591"/>
      <c r="H16" s="591"/>
      <c r="I16" s="591"/>
      <c r="J16" s="591"/>
      <c r="K16" s="592"/>
      <c r="L16" s="50"/>
      <c r="M16" s="50"/>
      <c r="N16" s="50"/>
      <c r="O16" s="50"/>
      <c r="P16" s="50"/>
      <c r="Q16" s="50"/>
      <c r="R16" s="50"/>
      <c r="S16" s="50"/>
      <c r="T16" s="50"/>
      <c r="U16" s="50"/>
      <c r="V16" s="50"/>
      <c r="W16" s="50"/>
      <c r="X16" s="50"/>
      <c r="Y16" s="50"/>
      <c r="Z16" s="50"/>
    </row>
    <row r="17" spans="1:26" ht="15.75" customHeight="1" x14ac:dyDescent="0.35">
      <c r="A17" s="50"/>
      <c r="B17" s="89" t="s">
        <v>323</v>
      </c>
      <c r="C17" s="229" t="s">
        <v>325</v>
      </c>
      <c r="D17" s="295">
        <f>AVERAGE(D12:D16)</f>
        <v>1.544</v>
      </c>
      <c r="E17" s="91" t="s">
        <v>117</v>
      </c>
      <c r="F17" s="91"/>
      <c r="G17" s="91"/>
      <c r="H17" s="91"/>
      <c r="I17" s="91"/>
      <c r="J17" s="91"/>
      <c r="K17" s="92"/>
      <c r="L17" s="50"/>
      <c r="M17" s="50"/>
      <c r="N17" s="50"/>
      <c r="O17" s="50"/>
      <c r="P17" s="50"/>
      <c r="Q17" s="50"/>
      <c r="R17" s="50"/>
      <c r="S17" s="50"/>
      <c r="T17" s="50"/>
      <c r="U17" s="50"/>
      <c r="V17" s="50"/>
      <c r="W17" s="50"/>
      <c r="X17" s="50"/>
      <c r="Y17" s="50"/>
      <c r="Z17" s="50"/>
    </row>
    <row r="18" spans="1:26" ht="15.75" customHeight="1" x14ac:dyDescent="0.35">
      <c r="A18" s="50"/>
      <c r="B18" s="104" t="s">
        <v>331</v>
      </c>
      <c r="C18" s="296"/>
      <c r="D18" s="297"/>
      <c r="E18" s="91"/>
      <c r="F18" s="91"/>
      <c r="G18" s="91"/>
      <c r="H18" s="91"/>
      <c r="I18" s="91"/>
      <c r="J18" s="91"/>
      <c r="K18" s="92"/>
      <c r="L18" s="50"/>
      <c r="M18" s="50"/>
      <c r="N18" s="50"/>
      <c r="O18" s="50"/>
      <c r="P18" s="50"/>
      <c r="Q18" s="50"/>
      <c r="R18" s="50"/>
      <c r="S18" s="50"/>
      <c r="T18" s="50"/>
      <c r="U18" s="50"/>
      <c r="V18" s="50"/>
      <c r="W18" s="50"/>
      <c r="X18" s="50"/>
      <c r="Y18" s="50"/>
      <c r="Z18" s="50"/>
    </row>
    <row r="19" spans="1:26" ht="15.75" customHeight="1" x14ac:dyDescent="0.35">
      <c r="A19" s="50"/>
      <c r="B19" s="89">
        <v>2020</v>
      </c>
      <c r="C19" s="296" t="s">
        <v>332</v>
      </c>
      <c r="D19" s="298">
        <v>48</v>
      </c>
      <c r="E19" s="228" t="s">
        <v>333</v>
      </c>
      <c r="F19" s="91"/>
      <c r="G19" s="91"/>
      <c r="H19" s="91"/>
      <c r="I19" s="91"/>
      <c r="J19" s="91"/>
      <c r="K19" s="92"/>
      <c r="L19" s="50"/>
      <c r="M19" s="50"/>
      <c r="N19" s="50"/>
      <c r="O19" s="50"/>
      <c r="P19" s="50"/>
      <c r="Q19" s="50"/>
      <c r="R19" s="50"/>
      <c r="S19" s="50"/>
      <c r="T19" s="50"/>
      <c r="U19" s="50"/>
      <c r="V19" s="50"/>
      <c r="W19" s="50"/>
      <c r="X19" s="50"/>
      <c r="Y19" s="50"/>
      <c r="Z19" s="50"/>
    </row>
    <row r="20" spans="1:26" ht="15.75" customHeight="1" x14ac:dyDescent="0.35">
      <c r="A20" s="50"/>
      <c r="B20" s="89">
        <v>2021</v>
      </c>
      <c r="C20" s="296" t="s">
        <v>332</v>
      </c>
      <c r="D20" s="298">
        <v>48</v>
      </c>
      <c r="E20" s="91" t="s">
        <v>334</v>
      </c>
      <c r="F20" s="91"/>
      <c r="G20" s="91"/>
      <c r="H20" s="91"/>
      <c r="I20" s="91"/>
      <c r="J20" s="91"/>
      <c r="K20" s="92"/>
      <c r="L20" s="50"/>
      <c r="M20" s="50"/>
      <c r="N20" s="50"/>
      <c r="O20" s="50"/>
      <c r="P20" s="50"/>
      <c r="Q20" s="50"/>
      <c r="R20" s="50"/>
      <c r="S20" s="50"/>
      <c r="T20" s="50"/>
      <c r="U20" s="50"/>
      <c r="V20" s="50"/>
      <c r="W20" s="50"/>
      <c r="X20" s="50"/>
      <c r="Y20" s="50"/>
      <c r="Z20" s="50"/>
    </row>
    <row r="21" spans="1:26" ht="15.75" customHeight="1" x14ac:dyDescent="0.35">
      <c r="A21" s="50"/>
      <c r="B21" s="89">
        <v>2022</v>
      </c>
      <c r="C21" s="296" t="s">
        <v>332</v>
      </c>
      <c r="D21" s="298">
        <v>48</v>
      </c>
      <c r="E21" s="593" t="s">
        <v>335</v>
      </c>
      <c r="F21" s="587"/>
      <c r="G21" s="587"/>
      <c r="H21" s="587"/>
      <c r="I21" s="587"/>
      <c r="J21" s="587"/>
      <c r="K21" s="588"/>
      <c r="L21" s="50"/>
      <c r="M21" s="50"/>
      <c r="N21" s="50"/>
      <c r="O21" s="50"/>
      <c r="P21" s="50"/>
      <c r="Q21" s="50"/>
      <c r="R21" s="50"/>
      <c r="S21" s="50"/>
      <c r="T21" s="50"/>
      <c r="U21" s="50"/>
      <c r="V21" s="50"/>
      <c r="W21" s="50"/>
      <c r="X21" s="50"/>
      <c r="Y21" s="50"/>
      <c r="Z21" s="50"/>
    </row>
    <row r="22" spans="1:26" ht="15.75" customHeight="1" x14ac:dyDescent="0.35">
      <c r="A22" s="50"/>
      <c r="B22" s="89">
        <v>2023</v>
      </c>
      <c r="C22" s="296" t="s">
        <v>332</v>
      </c>
      <c r="D22" s="298">
        <v>48</v>
      </c>
      <c r="E22" s="589"/>
      <c r="F22" s="536"/>
      <c r="G22" s="536"/>
      <c r="H22" s="536"/>
      <c r="I22" s="536"/>
      <c r="J22" s="536"/>
      <c r="K22" s="571"/>
      <c r="L22" s="50"/>
      <c r="M22" s="50"/>
      <c r="N22" s="50"/>
      <c r="O22" s="50"/>
      <c r="P22" s="50"/>
      <c r="Q22" s="50"/>
      <c r="R22" s="50"/>
      <c r="S22" s="50"/>
      <c r="T22" s="50"/>
      <c r="U22" s="50"/>
      <c r="V22" s="50"/>
      <c r="W22" s="50"/>
      <c r="X22" s="50"/>
      <c r="Y22" s="50"/>
      <c r="Z22" s="50"/>
    </row>
    <row r="23" spans="1:26" ht="15.75" customHeight="1" x14ac:dyDescent="0.35">
      <c r="A23" s="50"/>
      <c r="B23" s="89">
        <v>2024</v>
      </c>
      <c r="C23" s="296" t="s">
        <v>332</v>
      </c>
      <c r="D23" s="298">
        <v>48</v>
      </c>
      <c r="E23" s="590"/>
      <c r="F23" s="591"/>
      <c r="G23" s="591"/>
      <c r="H23" s="591"/>
      <c r="I23" s="591"/>
      <c r="J23" s="591"/>
      <c r="K23" s="592"/>
      <c r="L23" s="50"/>
      <c r="M23" s="50"/>
      <c r="N23" s="50"/>
      <c r="O23" s="50"/>
      <c r="P23" s="50"/>
      <c r="Q23" s="50"/>
      <c r="R23" s="50"/>
      <c r="S23" s="50"/>
      <c r="T23" s="50"/>
      <c r="U23" s="50"/>
      <c r="V23" s="50"/>
      <c r="W23" s="50"/>
      <c r="X23" s="50"/>
      <c r="Y23" s="50"/>
      <c r="Z23" s="50"/>
    </row>
    <row r="24" spans="1:26" ht="15.75" customHeight="1" x14ac:dyDescent="0.35">
      <c r="A24" s="50"/>
      <c r="B24" s="89">
        <v>2025</v>
      </c>
      <c r="C24" s="296" t="s">
        <v>332</v>
      </c>
      <c r="D24" s="298">
        <v>48</v>
      </c>
      <c r="E24" s="91"/>
      <c r="F24" s="91"/>
      <c r="G24" s="91"/>
      <c r="H24" s="91"/>
      <c r="I24" s="91"/>
      <c r="J24" s="91"/>
      <c r="K24" s="92"/>
      <c r="L24" s="50"/>
      <c r="M24" s="50"/>
      <c r="N24" s="50"/>
      <c r="O24" s="50"/>
      <c r="P24" s="50"/>
      <c r="Q24" s="50"/>
      <c r="R24" s="50"/>
      <c r="S24" s="50"/>
      <c r="T24" s="50"/>
      <c r="U24" s="50"/>
      <c r="V24" s="50"/>
      <c r="W24" s="50"/>
      <c r="X24" s="50"/>
      <c r="Y24" s="50"/>
      <c r="Z24" s="50"/>
    </row>
    <row r="25" spans="1:26" ht="15.75" customHeight="1" x14ac:dyDescent="0.35">
      <c r="A25" s="50"/>
      <c r="B25" s="89">
        <v>2026</v>
      </c>
      <c r="C25" s="296" t="s">
        <v>332</v>
      </c>
      <c r="D25" s="298">
        <v>48</v>
      </c>
      <c r="E25" s="91"/>
      <c r="F25" s="91"/>
      <c r="G25" s="91"/>
      <c r="H25" s="91"/>
      <c r="I25" s="91"/>
      <c r="J25" s="91"/>
      <c r="K25" s="92"/>
      <c r="L25" s="50"/>
      <c r="M25" s="50"/>
      <c r="N25" s="50"/>
      <c r="O25" s="50"/>
      <c r="P25" s="50"/>
      <c r="Q25" s="50"/>
      <c r="R25" s="50"/>
      <c r="S25" s="50"/>
      <c r="T25" s="50"/>
      <c r="U25" s="50"/>
      <c r="V25" s="50"/>
      <c r="W25" s="50"/>
      <c r="X25" s="50"/>
      <c r="Y25" s="50"/>
      <c r="Z25" s="50"/>
    </row>
    <row r="26" spans="1:26" ht="15.75" customHeight="1" x14ac:dyDescent="0.35">
      <c r="A26" s="50"/>
      <c r="B26" s="89">
        <v>2027</v>
      </c>
      <c r="C26" s="296" t="s">
        <v>332</v>
      </c>
      <c r="D26" s="298">
        <v>217</v>
      </c>
      <c r="E26" s="91"/>
      <c r="F26" s="91"/>
      <c r="G26" s="91"/>
      <c r="H26" s="91"/>
      <c r="I26" s="91"/>
      <c r="J26" s="91"/>
      <c r="K26" s="92"/>
      <c r="L26" s="50"/>
      <c r="M26" s="50"/>
      <c r="N26" s="50"/>
      <c r="O26" s="50"/>
      <c r="P26" s="50"/>
      <c r="Q26" s="50"/>
      <c r="R26" s="50"/>
      <c r="S26" s="50"/>
      <c r="T26" s="50"/>
      <c r="U26" s="50"/>
      <c r="V26" s="50"/>
      <c r="W26" s="50"/>
      <c r="X26" s="50"/>
      <c r="Y26" s="50"/>
      <c r="Z26" s="50"/>
    </row>
    <row r="27" spans="1:26" ht="15.75" customHeight="1" x14ac:dyDescent="0.35">
      <c r="A27" s="50"/>
      <c r="B27" s="89">
        <v>2028</v>
      </c>
      <c r="C27" s="296" t="s">
        <v>332</v>
      </c>
      <c r="D27" s="298">
        <v>217</v>
      </c>
      <c r="E27" s="91"/>
      <c r="F27" s="91"/>
      <c r="G27" s="91"/>
      <c r="H27" s="91"/>
      <c r="I27" s="91"/>
      <c r="J27" s="91"/>
      <c r="K27" s="92"/>
      <c r="L27" s="50"/>
      <c r="M27" s="50"/>
      <c r="N27" s="50"/>
      <c r="O27" s="50"/>
      <c r="P27" s="50"/>
      <c r="Q27" s="50"/>
      <c r="R27" s="50"/>
      <c r="S27" s="50"/>
      <c r="T27" s="50"/>
      <c r="U27" s="50"/>
      <c r="V27" s="50"/>
      <c r="W27" s="50"/>
      <c r="X27" s="50"/>
      <c r="Y27" s="50"/>
      <c r="Z27" s="50"/>
    </row>
    <row r="28" spans="1:26" ht="15.75" customHeight="1" x14ac:dyDescent="0.35">
      <c r="A28" s="50"/>
      <c r="B28" s="89">
        <v>2029</v>
      </c>
      <c r="C28" s="296" t="s">
        <v>332</v>
      </c>
      <c r="D28" s="298">
        <v>200</v>
      </c>
      <c r="E28" s="91"/>
      <c r="F28" s="91"/>
      <c r="G28" s="91"/>
      <c r="H28" s="91"/>
      <c r="I28" s="91"/>
      <c r="J28" s="91"/>
      <c r="K28" s="92"/>
      <c r="L28" s="50"/>
      <c r="M28" s="50"/>
      <c r="N28" s="50"/>
      <c r="O28" s="50"/>
      <c r="P28" s="50"/>
      <c r="Q28" s="50"/>
      <c r="R28" s="50"/>
      <c r="S28" s="50"/>
      <c r="T28" s="50"/>
      <c r="U28" s="50"/>
      <c r="V28" s="50"/>
      <c r="W28" s="50"/>
      <c r="X28" s="50"/>
      <c r="Y28" s="50"/>
      <c r="Z28" s="50"/>
    </row>
    <row r="29" spans="1:26" ht="15.75" customHeight="1" x14ac:dyDescent="0.35">
      <c r="A29" s="50"/>
      <c r="B29" s="89">
        <v>2030</v>
      </c>
      <c r="C29" s="296" t="s">
        <v>332</v>
      </c>
      <c r="D29" s="298">
        <v>193</v>
      </c>
      <c r="E29" s="91"/>
      <c r="F29" s="91"/>
      <c r="G29" s="91"/>
      <c r="H29" s="91"/>
      <c r="I29" s="91"/>
      <c r="J29" s="91"/>
      <c r="K29" s="92"/>
      <c r="L29" s="50"/>
      <c r="M29" s="50"/>
      <c r="N29" s="50"/>
      <c r="O29" s="50"/>
      <c r="P29" s="50"/>
      <c r="Q29" s="50"/>
      <c r="R29" s="50"/>
      <c r="S29" s="50"/>
      <c r="T29" s="50"/>
      <c r="U29" s="50"/>
      <c r="V29" s="50"/>
      <c r="W29" s="50"/>
      <c r="X29" s="50"/>
      <c r="Y29" s="50"/>
      <c r="Z29" s="50"/>
    </row>
    <row r="30" spans="1:26" ht="15.75" customHeight="1" x14ac:dyDescent="0.35">
      <c r="A30" s="50"/>
      <c r="B30" s="89">
        <v>2031</v>
      </c>
      <c r="C30" s="296" t="s">
        <v>332</v>
      </c>
      <c r="D30" s="298">
        <v>175</v>
      </c>
      <c r="E30" s="91"/>
      <c r="F30" s="91"/>
      <c r="G30" s="91"/>
      <c r="H30" s="91"/>
      <c r="I30" s="91"/>
      <c r="J30" s="91"/>
      <c r="K30" s="92"/>
      <c r="L30" s="50"/>
      <c r="M30" s="50"/>
      <c r="N30" s="50"/>
      <c r="O30" s="50"/>
      <c r="P30" s="50"/>
      <c r="Q30" s="50"/>
      <c r="R30" s="50"/>
      <c r="S30" s="50"/>
      <c r="T30" s="50"/>
      <c r="U30" s="50"/>
      <c r="V30" s="50"/>
      <c r="W30" s="50"/>
      <c r="X30" s="50"/>
      <c r="Y30" s="50"/>
      <c r="Z30" s="50"/>
    </row>
    <row r="31" spans="1:26" ht="15.75" customHeight="1" x14ac:dyDescent="0.35">
      <c r="A31" s="50"/>
      <c r="B31" s="233" t="s">
        <v>272</v>
      </c>
      <c r="C31" s="234"/>
      <c r="D31" s="299">
        <f>'1.Red. Purch. Cost Patient Care'!D68</f>
        <v>0.05</v>
      </c>
      <c r="E31" s="109"/>
      <c r="F31" s="109"/>
      <c r="G31" s="109"/>
      <c r="H31" s="109"/>
      <c r="I31" s="109"/>
      <c r="J31" s="109"/>
      <c r="K31" s="158"/>
      <c r="L31" s="50"/>
      <c r="M31" s="50"/>
      <c r="N31" s="50"/>
      <c r="O31" s="50"/>
      <c r="P31" s="50"/>
      <c r="Q31" s="50"/>
      <c r="R31" s="50"/>
      <c r="S31" s="50"/>
      <c r="T31" s="50"/>
      <c r="U31" s="50"/>
      <c r="V31" s="50"/>
      <c r="W31" s="50"/>
      <c r="X31" s="50"/>
      <c r="Y31" s="50"/>
      <c r="Z31" s="50"/>
    </row>
    <row r="32" spans="1:26" ht="15.75" customHeight="1" x14ac:dyDescent="0.35">
      <c r="A32" s="50"/>
      <c r="B32" s="50"/>
      <c r="C32" s="63"/>
      <c r="D32" s="50"/>
      <c r="E32" s="50"/>
      <c r="F32" s="50"/>
      <c r="G32" s="50"/>
      <c r="H32" s="50"/>
      <c r="I32" s="50"/>
      <c r="J32" s="50"/>
      <c r="K32" s="50"/>
      <c r="L32" s="50"/>
      <c r="M32" s="50"/>
      <c r="N32" s="50"/>
      <c r="O32" s="50"/>
      <c r="P32" s="50"/>
      <c r="Q32" s="50"/>
      <c r="R32" s="50"/>
      <c r="S32" s="50"/>
      <c r="T32" s="50"/>
      <c r="U32" s="50"/>
      <c r="V32" s="50"/>
      <c r="W32" s="50"/>
      <c r="X32" s="50"/>
      <c r="Y32" s="50"/>
      <c r="Z32" s="50"/>
    </row>
    <row r="33" spans="1:26" ht="15.75" customHeight="1" x14ac:dyDescent="0.35">
      <c r="A33" s="50"/>
      <c r="B33" s="35" t="s">
        <v>55</v>
      </c>
      <c r="C33" s="36"/>
      <c r="D33" s="565" t="s">
        <v>129</v>
      </c>
      <c r="E33" s="552"/>
      <c r="F33" s="553"/>
      <c r="G33" s="112" t="s">
        <v>130</v>
      </c>
      <c r="H33" s="38"/>
      <c r="I33" s="38"/>
      <c r="J33" s="38"/>
      <c r="K33" s="38"/>
      <c r="L33" s="38"/>
      <c r="M33" s="38"/>
      <c r="N33" s="38"/>
      <c r="O33" s="38"/>
      <c r="P33" s="39"/>
      <c r="Q33" s="50"/>
      <c r="R33" s="50"/>
      <c r="S33" s="50"/>
      <c r="T33" s="50"/>
      <c r="U33" s="50"/>
      <c r="V33" s="50"/>
      <c r="W33" s="50"/>
      <c r="X33" s="50"/>
      <c r="Y33" s="50"/>
      <c r="Z33" s="50"/>
    </row>
    <row r="34" spans="1:26" ht="15.75" customHeight="1" x14ac:dyDescent="0.35">
      <c r="A34" s="50"/>
      <c r="B34" s="40"/>
      <c r="C34" s="41"/>
      <c r="D34" s="276">
        <v>1</v>
      </c>
      <c r="E34" s="43">
        <f>+D34+1</f>
        <v>2</v>
      </c>
      <c r="F34" s="43">
        <f t="shared" ref="F34:P34" si="0">E34+1</f>
        <v>3</v>
      </c>
      <c r="G34" s="43">
        <f t="shared" si="0"/>
        <v>4</v>
      </c>
      <c r="H34" s="43">
        <f t="shared" si="0"/>
        <v>5</v>
      </c>
      <c r="I34" s="43">
        <f t="shared" si="0"/>
        <v>6</v>
      </c>
      <c r="J34" s="43">
        <f t="shared" si="0"/>
        <v>7</v>
      </c>
      <c r="K34" s="43">
        <f t="shared" si="0"/>
        <v>8</v>
      </c>
      <c r="L34" s="43">
        <f t="shared" si="0"/>
        <v>9</v>
      </c>
      <c r="M34" s="43">
        <f t="shared" si="0"/>
        <v>10</v>
      </c>
      <c r="N34" s="43">
        <f t="shared" si="0"/>
        <v>11</v>
      </c>
      <c r="O34" s="43">
        <f t="shared" si="0"/>
        <v>12</v>
      </c>
      <c r="P34" s="114">
        <f t="shared" si="0"/>
        <v>13</v>
      </c>
      <c r="Q34" s="50"/>
      <c r="R34" s="50"/>
      <c r="S34" s="50"/>
      <c r="T34" s="50"/>
      <c r="U34" s="50"/>
      <c r="V34" s="50"/>
      <c r="W34" s="50"/>
      <c r="X34" s="50"/>
      <c r="Y34" s="50"/>
      <c r="Z34" s="50"/>
    </row>
    <row r="35" spans="1:26" ht="15.75" customHeight="1" x14ac:dyDescent="0.35">
      <c r="A35" s="50"/>
      <c r="B35" s="46" t="s">
        <v>336</v>
      </c>
      <c r="C35" s="47"/>
      <c r="D35" s="48"/>
      <c r="E35" s="48"/>
      <c r="F35" s="48"/>
      <c r="G35" s="49"/>
      <c r="H35" s="49"/>
      <c r="I35" s="49"/>
      <c r="J35" s="49"/>
      <c r="K35" s="49"/>
      <c r="L35" s="49"/>
      <c r="M35" s="49"/>
      <c r="N35" s="50"/>
      <c r="O35" s="50"/>
      <c r="P35" s="115"/>
      <c r="Q35" s="50"/>
      <c r="R35" s="50"/>
      <c r="S35" s="50"/>
      <c r="T35" s="50"/>
      <c r="U35" s="50"/>
      <c r="V35" s="50"/>
      <c r="W35" s="50"/>
      <c r="X35" s="50"/>
      <c r="Y35" s="50"/>
      <c r="Z35" s="50"/>
    </row>
    <row r="36" spans="1:26" ht="15.75" customHeight="1" x14ac:dyDescent="0.35">
      <c r="A36" s="50"/>
      <c r="B36" s="53" t="s">
        <v>93</v>
      </c>
      <c r="C36" s="54" t="s">
        <v>94</v>
      </c>
      <c r="D36" s="49">
        <f>'1.Red. Purch. Cost Patient Care'!D74+'Red. Purch. Cost Patient Care-N'!D55</f>
        <v>2000</v>
      </c>
      <c r="E36" s="49">
        <f>'1.Red. Purch. Cost Patient Care'!E74+'Red. Purch. Cost Patient Care-N'!E55</f>
        <v>2010</v>
      </c>
      <c r="F36" s="49">
        <f>'1.Red. Purch. Cost Patient Care'!F74+'Red. Purch. Cost Patient Care-N'!F55</f>
        <v>2020.1</v>
      </c>
      <c r="G36" s="49">
        <f>'1.Red. Purch. Cost Patient Care'!G74+'Red. Purch. Cost Patient Care-N'!G55</f>
        <v>2080.3009999999999</v>
      </c>
      <c r="H36" s="49">
        <f>'1.Red. Purch. Cost Patient Care'!H74+'Red. Purch. Cost Patient Care-N'!H55</f>
        <v>2143.10401</v>
      </c>
      <c r="I36" s="49">
        <f>'1.Red. Purch. Cost Patient Care'!I74+'Red. Purch. Cost Patient Care-N'!I55</f>
        <v>2208.6350500999997</v>
      </c>
      <c r="J36" s="49">
        <f>'1.Red. Purch. Cost Patient Care'!J74+'Red. Purch. Cost Patient Care-N'!J55</f>
        <v>2277.0264006010002</v>
      </c>
      <c r="K36" s="49">
        <f>'1.Red. Purch. Cost Patient Care'!K74+'Red. Purch. Cost Patient Care-N'!K55</f>
        <v>2348.4169146070099</v>
      </c>
      <c r="L36" s="49">
        <f>'1.Red. Purch. Cost Patient Care'!L74+'Red. Purch. Cost Patient Care-N'!L55</f>
        <v>2422.9523462530806</v>
      </c>
      <c r="M36" s="49">
        <f>'1.Red. Purch. Cost Patient Care'!M74+'Red. Purch. Cost Patient Care-N'!M55</f>
        <v>2500.7856953406113</v>
      </c>
      <c r="N36" s="49">
        <f>'1.Red. Purch. Cost Patient Care'!N74+'Red. Purch. Cost Patient Care-N'!N55</f>
        <v>2582.0775692002676</v>
      </c>
      <c r="O36" s="49">
        <f>'1.Red. Purch. Cost Patient Care'!O74+'Red. Purch. Cost Patient Care-N'!O55</f>
        <v>2666.9965626438325</v>
      </c>
      <c r="P36" s="117">
        <f>'1.Red. Purch. Cost Patient Care'!P74+'Red. Purch. Cost Patient Care-N'!P55</f>
        <v>2755.7196569094122</v>
      </c>
      <c r="Q36" s="50"/>
      <c r="R36" s="50"/>
      <c r="S36" s="50"/>
      <c r="T36" s="50"/>
      <c r="U36" s="50"/>
      <c r="V36" s="50"/>
      <c r="W36" s="50"/>
      <c r="X36" s="50"/>
      <c r="Y36" s="50"/>
      <c r="Z36" s="50"/>
    </row>
    <row r="37" spans="1:26" ht="15.75" customHeight="1" x14ac:dyDescent="0.35">
      <c r="A37" s="50"/>
      <c r="B37" s="53" t="s">
        <v>95</v>
      </c>
      <c r="C37" s="54" t="s">
        <v>94</v>
      </c>
      <c r="D37" s="49">
        <f>'1.Red. Purch. Cost Patient Care'!D75+'Red. Purch. Cost Patient Care-N'!D56</f>
        <v>2000</v>
      </c>
      <c r="E37" s="49">
        <f>'1.Red. Purch. Cost Patient Care'!E75+'Red. Purch. Cost Patient Care-N'!E56</f>
        <v>2010</v>
      </c>
      <c r="F37" s="49">
        <f>'1.Red. Purch. Cost Patient Care'!F75+'Red. Purch. Cost Patient Care-N'!F56</f>
        <v>2020.1</v>
      </c>
      <c r="G37" s="49">
        <f>'1.Red. Purch. Cost Patient Care'!G75+'Red. Purch. Cost Patient Care-N'!G56</f>
        <v>2080.3009999999999</v>
      </c>
      <c r="H37" s="49">
        <f>'1.Red. Purch. Cost Patient Care'!H75+'Red. Purch. Cost Patient Care-N'!H56</f>
        <v>2143.10401</v>
      </c>
      <c r="I37" s="49">
        <f>'1.Red. Purch. Cost Patient Care'!I75+'Red. Purch. Cost Patient Care-N'!I56</f>
        <v>2208.6350500999997</v>
      </c>
      <c r="J37" s="49">
        <f>'1.Red. Purch. Cost Patient Care'!J75+'Red. Purch. Cost Patient Care-N'!J56</f>
        <v>2277.0264006010002</v>
      </c>
      <c r="K37" s="49">
        <f>'1.Red. Purch. Cost Patient Care'!K75+'Red. Purch. Cost Patient Care-N'!K56</f>
        <v>2348.4169146070099</v>
      </c>
      <c r="L37" s="49">
        <f>'1.Red. Purch. Cost Patient Care'!L75+'Red. Purch. Cost Patient Care-N'!L56</f>
        <v>2422.9523462530806</v>
      </c>
      <c r="M37" s="49">
        <f>'1.Red. Purch. Cost Patient Care'!M75+'Red. Purch. Cost Patient Care-N'!M56</f>
        <v>2500.7856953406113</v>
      </c>
      <c r="N37" s="49">
        <f>'1.Red. Purch. Cost Patient Care'!N75+'Red. Purch. Cost Patient Care-N'!N56</f>
        <v>2582.0775692002676</v>
      </c>
      <c r="O37" s="49">
        <f>'1.Red. Purch. Cost Patient Care'!O75+'Red. Purch. Cost Patient Care-N'!O56</f>
        <v>2666.9965626438325</v>
      </c>
      <c r="P37" s="117">
        <f>'1.Red. Purch. Cost Patient Care'!P75+'Red. Purch. Cost Patient Care-N'!P56</f>
        <v>2755.7196569094122</v>
      </c>
      <c r="Q37" s="50"/>
      <c r="R37" s="50"/>
      <c r="S37" s="50"/>
      <c r="T37" s="50"/>
      <c r="U37" s="50"/>
      <c r="V37" s="50"/>
      <c r="W37" s="50"/>
      <c r="X37" s="50"/>
      <c r="Y37" s="50"/>
      <c r="Z37" s="50"/>
    </row>
    <row r="38" spans="1:26" ht="15.75" customHeight="1" x14ac:dyDescent="0.35">
      <c r="A38" s="50"/>
      <c r="B38" s="53" t="s">
        <v>96</v>
      </c>
      <c r="C38" s="54" t="s">
        <v>94</v>
      </c>
      <c r="D38" s="49">
        <f>'1.Red. Purch. Cost Patient Care'!D76+'Red. Purch. Cost Patient Care-N'!D57</f>
        <v>2000</v>
      </c>
      <c r="E38" s="49">
        <f>'1.Red. Purch. Cost Patient Care'!E76+'Red. Purch. Cost Patient Care-N'!E57</f>
        <v>2010</v>
      </c>
      <c r="F38" s="49">
        <f>'1.Red. Purch. Cost Patient Care'!F76+'Red. Purch. Cost Patient Care-N'!F57</f>
        <v>2020.1</v>
      </c>
      <c r="G38" s="49">
        <f>'1.Red. Purch. Cost Patient Care'!G76+'Red. Purch. Cost Patient Care-N'!G57</f>
        <v>2080.3009999999999</v>
      </c>
      <c r="H38" s="49">
        <f>'1.Red. Purch. Cost Patient Care'!H76+'Red. Purch. Cost Patient Care-N'!H57</f>
        <v>2143.10401</v>
      </c>
      <c r="I38" s="49">
        <f>'1.Red. Purch. Cost Patient Care'!I76+'Red. Purch. Cost Patient Care-N'!I57</f>
        <v>2208.6350500999997</v>
      </c>
      <c r="J38" s="49">
        <f>'1.Red. Purch. Cost Patient Care'!J76+'Red. Purch. Cost Patient Care-N'!J57</f>
        <v>2277.0264006010002</v>
      </c>
      <c r="K38" s="49">
        <f>'1.Red. Purch. Cost Patient Care'!K76+'Red. Purch. Cost Patient Care-N'!K57</f>
        <v>2348.4169146070099</v>
      </c>
      <c r="L38" s="49">
        <f>'1.Red. Purch. Cost Patient Care'!L76+'Red. Purch. Cost Patient Care-N'!L57</f>
        <v>2422.9523462530806</v>
      </c>
      <c r="M38" s="49">
        <f>'1.Red. Purch. Cost Patient Care'!M76+'Red. Purch. Cost Patient Care-N'!M57</f>
        <v>2500.7856953406113</v>
      </c>
      <c r="N38" s="49">
        <f>'1.Red. Purch. Cost Patient Care'!N76+'Red. Purch. Cost Patient Care-N'!N57</f>
        <v>2582.0775692002676</v>
      </c>
      <c r="O38" s="49">
        <f>'1.Red. Purch. Cost Patient Care'!O76+'Red. Purch. Cost Patient Care-N'!O57</f>
        <v>2666.9965626438325</v>
      </c>
      <c r="P38" s="117">
        <f>'1.Red. Purch. Cost Patient Care'!P76+'Red. Purch. Cost Patient Care-N'!P57</f>
        <v>2755.7196569094122</v>
      </c>
      <c r="Q38" s="50"/>
      <c r="R38" s="50"/>
      <c r="S38" s="50"/>
      <c r="T38" s="50"/>
      <c r="U38" s="50"/>
      <c r="V38" s="50"/>
      <c r="W38" s="50"/>
      <c r="X38" s="50"/>
      <c r="Y38" s="50"/>
      <c r="Z38" s="50"/>
    </row>
    <row r="39" spans="1:26" ht="15.75" customHeight="1" x14ac:dyDescent="0.35">
      <c r="A39" s="50"/>
      <c r="B39" s="53" t="s">
        <v>97</v>
      </c>
      <c r="C39" s="54" t="s">
        <v>94</v>
      </c>
      <c r="D39" s="49">
        <f>'1.Red. Purch. Cost Patient Care'!D77+'Red. Purch. Cost Patient Care-N'!D58</f>
        <v>2000</v>
      </c>
      <c r="E39" s="49">
        <f>'1.Red. Purch. Cost Patient Care'!E77+'Red. Purch. Cost Patient Care-N'!E58</f>
        <v>2010</v>
      </c>
      <c r="F39" s="49">
        <f>'1.Red. Purch. Cost Patient Care'!F77+'Red. Purch. Cost Patient Care-N'!F58</f>
        <v>2020.1</v>
      </c>
      <c r="G39" s="49">
        <f>'1.Red. Purch. Cost Patient Care'!G77+'Red. Purch. Cost Patient Care-N'!G58</f>
        <v>2080.3009999999999</v>
      </c>
      <c r="H39" s="49">
        <f>'1.Red. Purch. Cost Patient Care'!H77+'Red. Purch. Cost Patient Care-N'!H58</f>
        <v>2143.10401</v>
      </c>
      <c r="I39" s="49">
        <f>'1.Red. Purch. Cost Patient Care'!I77+'Red. Purch. Cost Patient Care-N'!I58</f>
        <v>2208.6350500999997</v>
      </c>
      <c r="J39" s="49">
        <f>'1.Red. Purch. Cost Patient Care'!J77+'Red. Purch. Cost Patient Care-N'!J58</f>
        <v>2277.0264006010002</v>
      </c>
      <c r="K39" s="49">
        <f>'1.Red. Purch. Cost Patient Care'!K77+'Red. Purch. Cost Patient Care-N'!K58</f>
        <v>2348.4169146070099</v>
      </c>
      <c r="L39" s="49">
        <f>'1.Red. Purch. Cost Patient Care'!L77+'Red. Purch. Cost Patient Care-N'!L58</f>
        <v>2422.9523462530806</v>
      </c>
      <c r="M39" s="49">
        <f>'1.Red. Purch. Cost Patient Care'!M77+'Red. Purch. Cost Patient Care-N'!M58</f>
        <v>2500.7856953406113</v>
      </c>
      <c r="N39" s="49">
        <f>'1.Red. Purch. Cost Patient Care'!N77+'Red. Purch. Cost Patient Care-N'!N58</f>
        <v>2582.0775692002676</v>
      </c>
      <c r="O39" s="49">
        <f>'1.Red. Purch. Cost Patient Care'!O77+'Red. Purch. Cost Patient Care-N'!O58</f>
        <v>2666.9965626438325</v>
      </c>
      <c r="P39" s="117">
        <f>'1.Red. Purch. Cost Patient Care'!P77+'Red. Purch. Cost Patient Care-N'!P58</f>
        <v>2755.7196569094122</v>
      </c>
      <c r="Q39" s="50"/>
      <c r="R39" s="50"/>
      <c r="S39" s="50"/>
      <c r="T39" s="50"/>
      <c r="U39" s="50"/>
      <c r="V39" s="50"/>
      <c r="W39" s="50"/>
      <c r="X39" s="50"/>
      <c r="Y39" s="50"/>
      <c r="Z39" s="50"/>
    </row>
    <row r="40" spans="1:26" ht="15.75" customHeight="1" x14ac:dyDescent="0.35">
      <c r="A40" s="50"/>
      <c r="B40" s="53" t="s">
        <v>98</v>
      </c>
      <c r="C40" s="54" t="s">
        <v>94</v>
      </c>
      <c r="D40" s="49">
        <f>'1.Red. Purch. Cost Patient Care'!D78+'Red. Purch. Cost Patient Care-N'!D59</f>
        <v>2000</v>
      </c>
      <c r="E40" s="49">
        <f>'1.Red. Purch. Cost Patient Care'!E78+'Red. Purch. Cost Patient Care-N'!E59</f>
        <v>2010</v>
      </c>
      <c r="F40" s="49">
        <f>'1.Red. Purch. Cost Patient Care'!F78+'Red. Purch. Cost Patient Care-N'!F59</f>
        <v>2020.1</v>
      </c>
      <c r="G40" s="49">
        <f>'1.Red. Purch. Cost Patient Care'!G78+'Red. Purch. Cost Patient Care-N'!G59</f>
        <v>2080.3009999999999</v>
      </c>
      <c r="H40" s="49">
        <f>'1.Red. Purch. Cost Patient Care'!H78+'Red. Purch. Cost Patient Care-N'!H59</f>
        <v>2143.10401</v>
      </c>
      <c r="I40" s="49">
        <f>'1.Red. Purch. Cost Patient Care'!I78+'Red. Purch. Cost Patient Care-N'!I59</f>
        <v>2208.6350500999997</v>
      </c>
      <c r="J40" s="49">
        <f>'1.Red. Purch. Cost Patient Care'!J78+'Red. Purch. Cost Patient Care-N'!J59</f>
        <v>2277.0264006010002</v>
      </c>
      <c r="K40" s="49">
        <f>'1.Red. Purch. Cost Patient Care'!K78+'Red. Purch. Cost Patient Care-N'!K59</f>
        <v>2348.4169146070099</v>
      </c>
      <c r="L40" s="49">
        <f>'1.Red. Purch. Cost Patient Care'!L78+'Red. Purch. Cost Patient Care-N'!L59</f>
        <v>2422.9523462530806</v>
      </c>
      <c r="M40" s="49">
        <f>'1.Red. Purch. Cost Patient Care'!M78+'Red. Purch. Cost Patient Care-N'!M59</f>
        <v>2500.7856953406113</v>
      </c>
      <c r="N40" s="49">
        <f>'1.Red. Purch. Cost Patient Care'!N78+'Red. Purch. Cost Patient Care-N'!N59</f>
        <v>2582.0775692002676</v>
      </c>
      <c r="O40" s="49">
        <f>'1.Red. Purch. Cost Patient Care'!O78+'Red. Purch. Cost Patient Care-N'!O59</f>
        <v>2666.9965626438325</v>
      </c>
      <c r="P40" s="117">
        <f>'1.Red. Purch. Cost Patient Care'!P78+'Red. Purch. Cost Patient Care-N'!P59</f>
        <v>2755.7196569094122</v>
      </c>
      <c r="Q40" s="50"/>
      <c r="R40" s="50"/>
      <c r="S40" s="50"/>
      <c r="T40" s="50"/>
      <c r="U40" s="50"/>
      <c r="V40" s="50"/>
      <c r="W40" s="50"/>
      <c r="X40" s="50"/>
      <c r="Y40" s="50"/>
      <c r="Z40" s="50"/>
    </row>
    <row r="41" spans="1:26" ht="15.75" customHeight="1" x14ac:dyDescent="0.35">
      <c r="A41" s="50"/>
      <c r="B41" s="53" t="s">
        <v>99</v>
      </c>
      <c r="C41" s="54" t="s">
        <v>94</v>
      </c>
      <c r="D41" s="49">
        <f>'1.Red. Purch. Cost Patient Care'!D79+'Red. Purch. Cost Patient Care-N'!D60</f>
        <v>2000</v>
      </c>
      <c r="E41" s="49">
        <f>'1.Red. Purch. Cost Patient Care'!E79+'Red. Purch. Cost Patient Care-N'!E60</f>
        <v>2010</v>
      </c>
      <c r="F41" s="49">
        <f>'1.Red. Purch. Cost Patient Care'!F79+'Red. Purch. Cost Patient Care-N'!F60</f>
        <v>2020.1</v>
      </c>
      <c r="G41" s="49">
        <f>'1.Red. Purch. Cost Patient Care'!G79+'Red. Purch. Cost Patient Care-N'!G60</f>
        <v>2080.3009999999999</v>
      </c>
      <c r="H41" s="49">
        <f>'1.Red. Purch. Cost Patient Care'!H79+'Red. Purch. Cost Patient Care-N'!H60</f>
        <v>2143.10401</v>
      </c>
      <c r="I41" s="49">
        <f>'1.Red. Purch. Cost Patient Care'!I79+'Red. Purch. Cost Patient Care-N'!I60</f>
        <v>2208.6350500999997</v>
      </c>
      <c r="J41" s="49">
        <f>'1.Red. Purch. Cost Patient Care'!J79+'Red. Purch. Cost Patient Care-N'!J60</f>
        <v>2277.0264006010002</v>
      </c>
      <c r="K41" s="49">
        <f>'1.Red. Purch. Cost Patient Care'!K79+'Red. Purch. Cost Patient Care-N'!K60</f>
        <v>2348.4169146070099</v>
      </c>
      <c r="L41" s="49">
        <f>'1.Red. Purch. Cost Patient Care'!L79+'Red. Purch. Cost Patient Care-N'!L60</f>
        <v>2422.9523462530806</v>
      </c>
      <c r="M41" s="49">
        <f>'1.Red. Purch. Cost Patient Care'!M79+'Red. Purch. Cost Patient Care-N'!M60</f>
        <v>2500.7856953406113</v>
      </c>
      <c r="N41" s="49">
        <f>'1.Red. Purch. Cost Patient Care'!N79+'Red. Purch. Cost Patient Care-N'!N60</f>
        <v>2582.0775692002676</v>
      </c>
      <c r="O41" s="49">
        <f>'1.Red. Purch. Cost Patient Care'!O79+'Red. Purch. Cost Patient Care-N'!O60</f>
        <v>2666.9965626438325</v>
      </c>
      <c r="P41" s="117">
        <f>'1.Red. Purch. Cost Patient Care'!P79+'Red. Purch. Cost Patient Care-N'!P60</f>
        <v>2755.7196569094122</v>
      </c>
      <c r="Q41" s="50"/>
      <c r="R41" s="50"/>
      <c r="S41" s="50"/>
      <c r="T41" s="50"/>
      <c r="U41" s="50"/>
      <c r="V41" s="50"/>
      <c r="W41" s="50"/>
      <c r="X41" s="50"/>
      <c r="Y41" s="50"/>
      <c r="Z41" s="50"/>
    </row>
    <row r="42" spans="1:26" ht="15.75" customHeight="1" x14ac:dyDescent="0.35">
      <c r="A42" s="50"/>
      <c r="B42" s="53" t="s">
        <v>100</v>
      </c>
      <c r="C42" s="54" t="s">
        <v>94</v>
      </c>
      <c r="D42" s="49">
        <f>'1.Red. Purch. Cost Patient Care'!D80+'Red. Purch. Cost Patient Care-N'!D61</f>
        <v>2000</v>
      </c>
      <c r="E42" s="49">
        <f>'1.Red. Purch. Cost Patient Care'!E80+'Red. Purch. Cost Patient Care-N'!E61</f>
        <v>2010</v>
      </c>
      <c r="F42" s="49">
        <f>'1.Red. Purch. Cost Patient Care'!F80+'Red. Purch. Cost Patient Care-N'!F61</f>
        <v>2020.1</v>
      </c>
      <c r="G42" s="49">
        <f>'1.Red. Purch. Cost Patient Care'!G80+'Red. Purch. Cost Patient Care-N'!G61</f>
        <v>2080.3009999999999</v>
      </c>
      <c r="H42" s="49">
        <f>'1.Red. Purch. Cost Patient Care'!H80+'Red. Purch. Cost Patient Care-N'!H61</f>
        <v>2143.10401</v>
      </c>
      <c r="I42" s="49">
        <f>'1.Red. Purch. Cost Patient Care'!I80+'Red. Purch. Cost Patient Care-N'!I61</f>
        <v>2208.6350500999997</v>
      </c>
      <c r="J42" s="49">
        <f>'1.Red. Purch. Cost Patient Care'!J80+'Red. Purch. Cost Patient Care-N'!J61</f>
        <v>2277.0264006010002</v>
      </c>
      <c r="K42" s="49">
        <f>'1.Red. Purch. Cost Patient Care'!K80+'Red. Purch. Cost Patient Care-N'!K61</f>
        <v>2348.4169146070099</v>
      </c>
      <c r="L42" s="49">
        <f>'1.Red. Purch. Cost Patient Care'!L80+'Red. Purch. Cost Patient Care-N'!L61</f>
        <v>2422.9523462530806</v>
      </c>
      <c r="M42" s="49">
        <f>'1.Red. Purch. Cost Patient Care'!M80+'Red. Purch. Cost Patient Care-N'!M61</f>
        <v>2500.7856953406113</v>
      </c>
      <c r="N42" s="49">
        <f>'1.Red. Purch. Cost Patient Care'!N80+'Red. Purch. Cost Patient Care-N'!N61</f>
        <v>2582.0775692002676</v>
      </c>
      <c r="O42" s="49">
        <f>'1.Red. Purch. Cost Patient Care'!O80+'Red. Purch. Cost Patient Care-N'!O61</f>
        <v>2666.9965626438325</v>
      </c>
      <c r="P42" s="117">
        <f>'1.Red. Purch. Cost Patient Care'!P80+'Red. Purch. Cost Patient Care-N'!P61</f>
        <v>2755.7196569094122</v>
      </c>
      <c r="Q42" s="50"/>
      <c r="R42" s="50"/>
      <c r="S42" s="50"/>
      <c r="T42" s="50"/>
      <c r="U42" s="50"/>
      <c r="V42" s="50"/>
      <c r="W42" s="50"/>
      <c r="X42" s="50"/>
      <c r="Y42" s="50"/>
      <c r="Z42" s="50"/>
    </row>
    <row r="43" spans="1:26" ht="15.75" customHeight="1" x14ac:dyDescent="0.35">
      <c r="A43" s="50"/>
      <c r="B43" s="53" t="s">
        <v>101</v>
      </c>
      <c r="C43" s="54" t="s">
        <v>94</v>
      </c>
      <c r="D43" s="49">
        <f>'1.Red. Purch. Cost Patient Care'!D81+'Red. Purch. Cost Patient Care-N'!D62</f>
        <v>2000</v>
      </c>
      <c r="E43" s="49">
        <f>'1.Red. Purch. Cost Patient Care'!E81+'Red. Purch. Cost Patient Care-N'!E62</f>
        <v>2010</v>
      </c>
      <c r="F43" s="49">
        <f>'1.Red. Purch. Cost Patient Care'!F81+'Red. Purch. Cost Patient Care-N'!F62</f>
        <v>2020.1</v>
      </c>
      <c r="G43" s="49">
        <f>'1.Red. Purch. Cost Patient Care'!G81+'Red. Purch. Cost Patient Care-N'!G62</f>
        <v>2080.3009999999999</v>
      </c>
      <c r="H43" s="49">
        <f>'1.Red. Purch. Cost Patient Care'!H81+'Red. Purch. Cost Patient Care-N'!H62</f>
        <v>2143.10401</v>
      </c>
      <c r="I43" s="49">
        <f>'1.Red. Purch. Cost Patient Care'!I81+'Red. Purch. Cost Patient Care-N'!I62</f>
        <v>2208.6350500999997</v>
      </c>
      <c r="J43" s="49">
        <f>'1.Red. Purch. Cost Patient Care'!J81+'Red. Purch. Cost Patient Care-N'!J62</f>
        <v>2277.0264006010002</v>
      </c>
      <c r="K43" s="49">
        <f>'1.Red. Purch. Cost Patient Care'!K81+'Red. Purch. Cost Patient Care-N'!K62</f>
        <v>2348.4169146070099</v>
      </c>
      <c r="L43" s="49">
        <f>'1.Red. Purch. Cost Patient Care'!L81+'Red. Purch. Cost Patient Care-N'!L62</f>
        <v>2422.9523462530806</v>
      </c>
      <c r="M43" s="49">
        <f>'1.Red. Purch. Cost Patient Care'!M81+'Red. Purch. Cost Patient Care-N'!M62</f>
        <v>2500.7856953406113</v>
      </c>
      <c r="N43" s="49">
        <f>'1.Red. Purch. Cost Patient Care'!N81+'Red. Purch. Cost Patient Care-N'!N62</f>
        <v>2582.0775692002676</v>
      </c>
      <c r="O43" s="49">
        <f>'1.Red. Purch. Cost Patient Care'!O81+'Red. Purch. Cost Patient Care-N'!O62</f>
        <v>2666.9965626438325</v>
      </c>
      <c r="P43" s="117">
        <f>'1.Red. Purch. Cost Patient Care'!P81+'Red. Purch. Cost Patient Care-N'!P62</f>
        <v>2755.7196569094122</v>
      </c>
      <c r="Q43" s="50"/>
      <c r="R43" s="50"/>
      <c r="S43" s="50"/>
      <c r="T43" s="50"/>
      <c r="U43" s="50"/>
      <c r="V43" s="50"/>
      <c r="W43" s="50"/>
      <c r="X43" s="50"/>
      <c r="Y43" s="50"/>
      <c r="Z43" s="50"/>
    </row>
    <row r="44" spans="1:26" ht="15.75" customHeight="1" x14ac:dyDescent="0.35">
      <c r="A44" s="50"/>
      <c r="B44" s="53" t="s">
        <v>102</v>
      </c>
      <c r="C44" s="54" t="s">
        <v>94</v>
      </c>
      <c r="D44" s="49">
        <f>'1.Red. Purch. Cost Patient Care'!D82+'Red. Purch. Cost Patient Care-N'!D63</f>
        <v>2000</v>
      </c>
      <c r="E44" s="49">
        <f>'1.Red. Purch. Cost Patient Care'!E82+'Red. Purch. Cost Patient Care-N'!E63</f>
        <v>2010</v>
      </c>
      <c r="F44" s="49">
        <f>'1.Red. Purch. Cost Patient Care'!F82+'Red. Purch. Cost Patient Care-N'!F63</f>
        <v>2020.1</v>
      </c>
      <c r="G44" s="49">
        <f>'1.Red. Purch. Cost Patient Care'!G82+'Red. Purch. Cost Patient Care-N'!G63</f>
        <v>2080.3009999999999</v>
      </c>
      <c r="H44" s="49">
        <f>'1.Red. Purch. Cost Patient Care'!H82+'Red. Purch. Cost Patient Care-N'!H63</f>
        <v>2143.10401</v>
      </c>
      <c r="I44" s="49">
        <f>'1.Red. Purch. Cost Patient Care'!I82+'Red. Purch. Cost Patient Care-N'!I63</f>
        <v>2208.6350500999997</v>
      </c>
      <c r="J44" s="49">
        <f>'1.Red. Purch. Cost Patient Care'!J82+'Red. Purch. Cost Patient Care-N'!J63</f>
        <v>2277.0264006010002</v>
      </c>
      <c r="K44" s="49">
        <f>'1.Red. Purch. Cost Patient Care'!K82+'Red. Purch. Cost Patient Care-N'!K63</f>
        <v>2348.4169146070099</v>
      </c>
      <c r="L44" s="49">
        <f>'1.Red. Purch. Cost Patient Care'!L82+'Red. Purch. Cost Patient Care-N'!L63</f>
        <v>2422.9523462530806</v>
      </c>
      <c r="M44" s="49">
        <f>'1.Red. Purch. Cost Patient Care'!M82+'Red. Purch. Cost Patient Care-N'!M63</f>
        <v>2500.7856953406113</v>
      </c>
      <c r="N44" s="49">
        <f>'1.Red. Purch. Cost Patient Care'!N82+'Red. Purch. Cost Patient Care-N'!N63</f>
        <v>2582.0775692002676</v>
      </c>
      <c r="O44" s="49">
        <f>'1.Red. Purch. Cost Patient Care'!O82+'Red. Purch. Cost Patient Care-N'!O63</f>
        <v>2666.9965626438325</v>
      </c>
      <c r="P44" s="117">
        <f>'1.Red. Purch. Cost Patient Care'!P82+'Red. Purch. Cost Patient Care-N'!P63</f>
        <v>2755.7196569094122</v>
      </c>
      <c r="Q44" s="50"/>
      <c r="R44" s="50"/>
      <c r="S44" s="50"/>
      <c r="T44" s="50"/>
      <c r="U44" s="50"/>
      <c r="V44" s="50"/>
      <c r="W44" s="50"/>
      <c r="X44" s="50"/>
      <c r="Y44" s="50"/>
      <c r="Z44" s="50"/>
    </row>
    <row r="45" spans="1:26" ht="15.75" customHeight="1" x14ac:dyDescent="0.35">
      <c r="A45" s="237"/>
      <c r="B45" s="238" t="s">
        <v>65</v>
      </c>
      <c r="C45" s="54" t="s">
        <v>94</v>
      </c>
      <c r="D45" s="240">
        <f t="shared" ref="D45:P45" si="1">SUM(D36:D44)</f>
        <v>18000</v>
      </c>
      <c r="E45" s="240">
        <f t="shared" si="1"/>
        <v>18090</v>
      </c>
      <c r="F45" s="240">
        <f t="shared" si="1"/>
        <v>18180.900000000001</v>
      </c>
      <c r="G45" s="240">
        <f t="shared" si="1"/>
        <v>18722.708999999999</v>
      </c>
      <c r="H45" s="240">
        <f t="shared" si="1"/>
        <v>19287.936089999996</v>
      </c>
      <c r="I45" s="240">
        <f t="shared" si="1"/>
        <v>19877.715450899996</v>
      </c>
      <c r="J45" s="240">
        <f t="shared" si="1"/>
        <v>20493.237605409002</v>
      </c>
      <c r="K45" s="240">
        <f t="shared" si="1"/>
        <v>21135.752231463084</v>
      </c>
      <c r="L45" s="240">
        <f t="shared" si="1"/>
        <v>21806.57111627773</v>
      </c>
      <c r="M45" s="240">
        <f t="shared" si="1"/>
        <v>22507.071258065502</v>
      </c>
      <c r="N45" s="240">
        <f t="shared" si="1"/>
        <v>23238.698122802409</v>
      </c>
      <c r="O45" s="240">
        <f t="shared" si="1"/>
        <v>24002.969063794488</v>
      </c>
      <c r="P45" s="241">
        <f t="shared" si="1"/>
        <v>24801.476912184709</v>
      </c>
      <c r="Q45" s="237"/>
      <c r="R45" s="237"/>
      <c r="S45" s="237"/>
      <c r="T45" s="237"/>
      <c r="U45" s="237"/>
      <c r="V45" s="237"/>
      <c r="W45" s="237"/>
      <c r="X45" s="237"/>
      <c r="Y45" s="237"/>
      <c r="Z45" s="237"/>
    </row>
    <row r="46" spans="1:26" ht="15.75" customHeight="1" x14ac:dyDescent="0.35">
      <c r="A46" s="50"/>
      <c r="B46" s="62" t="s">
        <v>337</v>
      </c>
      <c r="C46" s="63"/>
      <c r="D46" s="120"/>
      <c r="E46" s="50"/>
      <c r="F46" s="50"/>
      <c r="G46" s="50"/>
      <c r="H46" s="50"/>
      <c r="I46" s="50"/>
      <c r="J46" s="50"/>
      <c r="K46" s="50"/>
      <c r="L46" s="50"/>
      <c r="M46" s="50"/>
      <c r="N46" s="50"/>
      <c r="O46" s="50"/>
      <c r="P46" s="115"/>
      <c r="Q46" s="50"/>
      <c r="R46" s="50"/>
      <c r="S46" s="50"/>
      <c r="T46" s="50"/>
      <c r="U46" s="50"/>
      <c r="V46" s="50"/>
      <c r="W46" s="50"/>
      <c r="X46" s="50"/>
      <c r="Y46" s="50"/>
      <c r="Z46" s="50"/>
    </row>
    <row r="47" spans="1:26" ht="15.75" customHeight="1" x14ac:dyDescent="0.35">
      <c r="A47" s="50"/>
      <c r="B47" s="53" t="s">
        <v>93</v>
      </c>
      <c r="C47" s="63" t="s">
        <v>325</v>
      </c>
      <c r="D47" s="242">
        <f t="shared" ref="D47:D48" si="2">$D$17</f>
        <v>1.544</v>
      </c>
      <c r="E47" s="242">
        <f t="shared" ref="E47:P47" si="3">D47</f>
        <v>1.544</v>
      </c>
      <c r="F47" s="242">
        <f t="shared" si="3"/>
        <v>1.544</v>
      </c>
      <c r="G47" s="242">
        <f t="shared" si="3"/>
        <v>1.544</v>
      </c>
      <c r="H47" s="242">
        <f t="shared" si="3"/>
        <v>1.544</v>
      </c>
      <c r="I47" s="242">
        <f t="shared" si="3"/>
        <v>1.544</v>
      </c>
      <c r="J47" s="242">
        <f t="shared" si="3"/>
        <v>1.544</v>
      </c>
      <c r="K47" s="242">
        <f t="shared" si="3"/>
        <v>1.544</v>
      </c>
      <c r="L47" s="242">
        <f t="shared" si="3"/>
        <v>1.544</v>
      </c>
      <c r="M47" s="242">
        <f t="shared" si="3"/>
        <v>1.544</v>
      </c>
      <c r="N47" s="242">
        <f t="shared" si="3"/>
        <v>1.544</v>
      </c>
      <c r="O47" s="242">
        <f t="shared" si="3"/>
        <v>1.544</v>
      </c>
      <c r="P47" s="243">
        <f t="shared" si="3"/>
        <v>1.544</v>
      </c>
      <c r="Q47" s="50"/>
      <c r="R47" s="50"/>
      <c r="S47" s="50"/>
      <c r="T47" s="50"/>
      <c r="U47" s="50"/>
      <c r="V47" s="50"/>
      <c r="W47" s="50"/>
      <c r="X47" s="50"/>
      <c r="Y47" s="50"/>
      <c r="Z47" s="50"/>
    </row>
    <row r="48" spans="1:26" ht="15.75" customHeight="1" x14ac:dyDescent="0.35">
      <c r="A48" s="50"/>
      <c r="B48" s="53" t="s">
        <v>95</v>
      </c>
      <c r="C48" s="63" t="s">
        <v>325</v>
      </c>
      <c r="D48" s="242">
        <f t="shared" si="2"/>
        <v>1.544</v>
      </c>
      <c r="E48" s="242">
        <f t="shared" ref="E48:P48" si="4">D48</f>
        <v>1.544</v>
      </c>
      <c r="F48" s="242">
        <f t="shared" si="4"/>
        <v>1.544</v>
      </c>
      <c r="G48" s="242">
        <f t="shared" si="4"/>
        <v>1.544</v>
      </c>
      <c r="H48" s="242">
        <f t="shared" si="4"/>
        <v>1.544</v>
      </c>
      <c r="I48" s="242">
        <f t="shared" si="4"/>
        <v>1.544</v>
      </c>
      <c r="J48" s="242">
        <f t="shared" si="4"/>
        <v>1.544</v>
      </c>
      <c r="K48" s="242">
        <f t="shared" si="4"/>
        <v>1.544</v>
      </c>
      <c r="L48" s="242">
        <f t="shared" si="4"/>
        <v>1.544</v>
      </c>
      <c r="M48" s="242">
        <f t="shared" si="4"/>
        <v>1.544</v>
      </c>
      <c r="N48" s="242">
        <f t="shared" si="4"/>
        <v>1.544</v>
      </c>
      <c r="O48" s="242">
        <f t="shared" si="4"/>
        <v>1.544</v>
      </c>
      <c r="P48" s="243">
        <f t="shared" si="4"/>
        <v>1.544</v>
      </c>
      <c r="Q48" s="50"/>
      <c r="R48" s="50"/>
      <c r="S48" s="50"/>
      <c r="T48" s="50"/>
      <c r="U48" s="50"/>
      <c r="V48" s="50"/>
      <c r="W48" s="50"/>
      <c r="X48" s="50"/>
      <c r="Y48" s="50"/>
      <c r="Z48" s="50"/>
    </row>
    <row r="49" spans="1:26" ht="18" customHeight="1" x14ac:dyDescent="0.35">
      <c r="A49" s="50"/>
      <c r="B49" s="53" t="s">
        <v>96</v>
      </c>
      <c r="C49" s="63" t="s">
        <v>325</v>
      </c>
      <c r="D49" s="242">
        <f>$D$16</f>
        <v>7.9999999999999988E-2</v>
      </c>
      <c r="E49" s="242">
        <f t="shared" ref="E49:P49" si="5">D49</f>
        <v>7.9999999999999988E-2</v>
      </c>
      <c r="F49" s="242">
        <f t="shared" si="5"/>
        <v>7.9999999999999988E-2</v>
      </c>
      <c r="G49" s="242">
        <f t="shared" si="5"/>
        <v>7.9999999999999988E-2</v>
      </c>
      <c r="H49" s="242">
        <f t="shared" si="5"/>
        <v>7.9999999999999988E-2</v>
      </c>
      <c r="I49" s="242">
        <f t="shared" si="5"/>
        <v>7.9999999999999988E-2</v>
      </c>
      <c r="J49" s="242">
        <f t="shared" si="5"/>
        <v>7.9999999999999988E-2</v>
      </c>
      <c r="K49" s="242">
        <f t="shared" si="5"/>
        <v>7.9999999999999988E-2</v>
      </c>
      <c r="L49" s="242">
        <f t="shared" si="5"/>
        <v>7.9999999999999988E-2</v>
      </c>
      <c r="M49" s="242">
        <f t="shared" si="5"/>
        <v>7.9999999999999988E-2</v>
      </c>
      <c r="N49" s="242">
        <f t="shared" si="5"/>
        <v>7.9999999999999988E-2</v>
      </c>
      <c r="O49" s="242">
        <f t="shared" si="5"/>
        <v>7.9999999999999988E-2</v>
      </c>
      <c r="P49" s="243">
        <f t="shared" si="5"/>
        <v>7.9999999999999988E-2</v>
      </c>
      <c r="Q49" s="50"/>
      <c r="R49" s="50"/>
      <c r="S49" s="50"/>
      <c r="T49" s="50"/>
      <c r="U49" s="50"/>
      <c r="V49" s="50"/>
      <c r="W49" s="50"/>
      <c r="X49" s="50"/>
      <c r="Y49" s="50"/>
      <c r="Z49" s="50"/>
    </row>
    <row r="50" spans="1:26" ht="15.75" customHeight="1" x14ac:dyDescent="0.35">
      <c r="A50" s="50"/>
      <c r="B50" s="53" t="s">
        <v>97</v>
      </c>
      <c r="C50" s="63" t="s">
        <v>325</v>
      </c>
      <c r="D50" s="242">
        <f t="shared" ref="D50:D55" si="6">$D$17</f>
        <v>1.544</v>
      </c>
      <c r="E50" s="242">
        <f t="shared" ref="E50:P50" si="7">D50</f>
        <v>1.544</v>
      </c>
      <c r="F50" s="242">
        <f t="shared" si="7"/>
        <v>1.544</v>
      </c>
      <c r="G50" s="242">
        <f t="shared" si="7"/>
        <v>1.544</v>
      </c>
      <c r="H50" s="242">
        <f t="shared" si="7"/>
        <v>1.544</v>
      </c>
      <c r="I50" s="242">
        <f t="shared" si="7"/>
        <v>1.544</v>
      </c>
      <c r="J50" s="242">
        <f t="shared" si="7"/>
        <v>1.544</v>
      </c>
      <c r="K50" s="242">
        <f t="shared" si="7"/>
        <v>1.544</v>
      </c>
      <c r="L50" s="242">
        <f t="shared" si="7"/>
        <v>1.544</v>
      </c>
      <c r="M50" s="242">
        <f t="shared" si="7"/>
        <v>1.544</v>
      </c>
      <c r="N50" s="242">
        <f t="shared" si="7"/>
        <v>1.544</v>
      </c>
      <c r="O50" s="242">
        <f t="shared" si="7"/>
        <v>1.544</v>
      </c>
      <c r="P50" s="243">
        <f t="shared" si="7"/>
        <v>1.544</v>
      </c>
      <c r="Q50" s="50"/>
      <c r="R50" s="50"/>
      <c r="S50" s="50"/>
      <c r="T50" s="50"/>
      <c r="U50" s="50"/>
      <c r="V50" s="50"/>
      <c r="W50" s="50"/>
      <c r="X50" s="50"/>
      <c r="Y50" s="50"/>
      <c r="Z50" s="50"/>
    </row>
    <row r="51" spans="1:26" ht="15.75" customHeight="1" x14ac:dyDescent="0.35">
      <c r="A51" s="50"/>
      <c r="B51" s="53" t="s">
        <v>98</v>
      </c>
      <c r="C51" s="63" t="s">
        <v>325</v>
      </c>
      <c r="D51" s="242">
        <f t="shared" si="6"/>
        <v>1.544</v>
      </c>
      <c r="E51" s="242">
        <f t="shared" ref="E51:P51" si="8">D51</f>
        <v>1.544</v>
      </c>
      <c r="F51" s="242">
        <f t="shared" si="8"/>
        <v>1.544</v>
      </c>
      <c r="G51" s="242">
        <f t="shared" si="8"/>
        <v>1.544</v>
      </c>
      <c r="H51" s="242">
        <f t="shared" si="8"/>
        <v>1.544</v>
      </c>
      <c r="I51" s="242">
        <f t="shared" si="8"/>
        <v>1.544</v>
      </c>
      <c r="J51" s="242">
        <f t="shared" si="8"/>
        <v>1.544</v>
      </c>
      <c r="K51" s="242">
        <f t="shared" si="8"/>
        <v>1.544</v>
      </c>
      <c r="L51" s="242">
        <f t="shared" si="8"/>
        <v>1.544</v>
      </c>
      <c r="M51" s="242">
        <f t="shared" si="8"/>
        <v>1.544</v>
      </c>
      <c r="N51" s="242">
        <f t="shared" si="8"/>
        <v>1.544</v>
      </c>
      <c r="O51" s="242">
        <f t="shared" si="8"/>
        <v>1.544</v>
      </c>
      <c r="P51" s="243">
        <f t="shared" si="8"/>
        <v>1.544</v>
      </c>
      <c r="Q51" s="50"/>
      <c r="R51" s="50"/>
      <c r="S51" s="50"/>
      <c r="T51" s="50"/>
      <c r="U51" s="50"/>
      <c r="V51" s="50"/>
      <c r="W51" s="50"/>
      <c r="X51" s="50"/>
      <c r="Y51" s="50"/>
      <c r="Z51" s="50"/>
    </row>
    <row r="52" spans="1:26" ht="15.75" customHeight="1" x14ac:dyDescent="0.35">
      <c r="A52" s="50"/>
      <c r="B52" s="53" t="s">
        <v>99</v>
      </c>
      <c r="C52" s="63" t="s">
        <v>325</v>
      </c>
      <c r="D52" s="242">
        <f t="shared" si="6"/>
        <v>1.544</v>
      </c>
      <c r="E52" s="242">
        <f t="shared" ref="E52:P52" si="9">D52</f>
        <v>1.544</v>
      </c>
      <c r="F52" s="242">
        <f t="shared" si="9"/>
        <v>1.544</v>
      </c>
      <c r="G52" s="242">
        <f t="shared" si="9"/>
        <v>1.544</v>
      </c>
      <c r="H52" s="242">
        <f t="shared" si="9"/>
        <v>1.544</v>
      </c>
      <c r="I52" s="242">
        <f t="shared" si="9"/>
        <v>1.544</v>
      </c>
      <c r="J52" s="242">
        <f t="shared" si="9"/>
        <v>1.544</v>
      </c>
      <c r="K52" s="242">
        <f t="shared" si="9"/>
        <v>1.544</v>
      </c>
      <c r="L52" s="242">
        <f t="shared" si="9"/>
        <v>1.544</v>
      </c>
      <c r="M52" s="242">
        <f t="shared" si="9"/>
        <v>1.544</v>
      </c>
      <c r="N52" s="242">
        <f t="shared" si="9"/>
        <v>1.544</v>
      </c>
      <c r="O52" s="242">
        <f t="shared" si="9"/>
        <v>1.544</v>
      </c>
      <c r="P52" s="243">
        <f t="shared" si="9"/>
        <v>1.544</v>
      </c>
      <c r="Q52" s="50"/>
      <c r="R52" s="50"/>
      <c r="S52" s="50"/>
      <c r="T52" s="50"/>
      <c r="U52" s="50"/>
      <c r="V52" s="50"/>
      <c r="W52" s="50"/>
      <c r="X52" s="50"/>
      <c r="Y52" s="50"/>
      <c r="Z52" s="50"/>
    </row>
    <row r="53" spans="1:26" ht="15.75" customHeight="1" x14ac:dyDescent="0.35">
      <c r="A53" s="50"/>
      <c r="B53" s="53" t="s">
        <v>100</v>
      </c>
      <c r="C53" s="63" t="s">
        <v>325</v>
      </c>
      <c r="D53" s="242">
        <f t="shared" si="6"/>
        <v>1.544</v>
      </c>
      <c r="E53" s="242">
        <f t="shared" ref="E53:P53" si="10">D53</f>
        <v>1.544</v>
      </c>
      <c r="F53" s="242">
        <f t="shared" si="10"/>
        <v>1.544</v>
      </c>
      <c r="G53" s="242">
        <f t="shared" si="10"/>
        <v>1.544</v>
      </c>
      <c r="H53" s="242">
        <f t="shared" si="10"/>
        <v>1.544</v>
      </c>
      <c r="I53" s="242">
        <f t="shared" si="10"/>
        <v>1.544</v>
      </c>
      <c r="J53" s="242">
        <f t="shared" si="10"/>
        <v>1.544</v>
      </c>
      <c r="K53" s="242">
        <f t="shared" si="10"/>
        <v>1.544</v>
      </c>
      <c r="L53" s="242">
        <f t="shared" si="10"/>
        <v>1.544</v>
      </c>
      <c r="M53" s="242">
        <f t="shared" si="10"/>
        <v>1.544</v>
      </c>
      <c r="N53" s="242">
        <f t="shared" si="10"/>
        <v>1.544</v>
      </c>
      <c r="O53" s="242">
        <f t="shared" si="10"/>
        <v>1.544</v>
      </c>
      <c r="P53" s="243">
        <f t="shared" si="10"/>
        <v>1.544</v>
      </c>
      <c r="Q53" s="50"/>
      <c r="R53" s="50"/>
      <c r="S53" s="50"/>
      <c r="T53" s="50"/>
      <c r="U53" s="50"/>
      <c r="V53" s="50"/>
      <c r="W53" s="50"/>
      <c r="X53" s="50"/>
      <c r="Y53" s="50"/>
      <c r="Z53" s="50"/>
    </row>
    <row r="54" spans="1:26" ht="15.75" customHeight="1" x14ac:dyDescent="0.35">
      <c r="A54" s="50"/>
      <c r="B54" s="53" t="s">
        <v>101</v>
      </c>
      <c r="C54" s="63" t="s">
        <v>325</v>
      </c>
      <c r="D54" s="242">
        <f t="shared" si="6"/>
        <v>1.544</v>
      </c>
      <c r="E54" s="242">
        <f t="shared" ref="E54:P54" si="11">D54</f>
        <v>1.544</v>
      </c>
      <c r="F54" s="242">
        <f t="shared" si="11"/>
        <v>1.544</v>
      </c>
      <c r="G54" s="242">
        <f t="shared" si="11"/>
        <v>1.544</v>
      </c>
      <c r="H54" s="242">
        <f t="shared" si="11"/>
        <v>1.544</v>
      </c>
      <c r="I54" s="242">
        <f t="shared" si="11"/>
        <v>1.544</v>
      </c>
      <c r="J54" s="242">
        <f t="shared" si="11"/>
        <v>1.544</v>
      </c>
      <c r="K54" s="242">
        <f t="shared" si="11"/>
        <v>1.544</v>
      </c>
      <c r="L54" s="242">
        <f t="shared" si="11"/>
        <v>1.544</v>
      </c>
      <c r="M54" s="242">
        <f t="shared" si="11"/>
        <v>1.544</v>
      </c>
      <c r="N54" s="242">
        <f t="shared" si="11"/>
        <v>1.544</v>
      </c>
      <c r="O54" s="242">
        <f t="shared" si="11"/>
        <v>1.544</v>
      </c>
      <c r="P54" s="243">
        <f t="shared" si="11"/>
        <v>1.544</v>
      </c>
      <c r="Q54" s="50"/>
      <c r="R54" s="50"/>
      <c r="S54" s="50"/>
      <c r="T54" s="50"/>
      <c r="U54" s="50"/>
      <c r="V54" s="50"/>
      <c r="W54" s="50"/>
      <c r="X54" s="50"/>
      <c r="Y54" s="50"/>
      <c r="Z54" s="50"/>
    </row>
    <row r="55" spans="1:26" ht="15.75" customHeight="1" x14ac:dyDescent="0.35">
      <c r="A55" s="50"/>
      <c r="B55" s="53" t="s">
        <v>102</v>
      </c>
      <c r="C55" s="63" t="s">
        <v>325</v>
      </c>
      <c r="D55" s="242">
        <f t="shared" si="6"/>
        <v>1.544</v>
      </c>
      <c r="E55" s="242">
        <f t="shared" ref="E55:P55" si="12">D55</f>
        <v>1.544</v>
      </c>
      <c r="F55" s="242">
        <f t="shared" si="12"/>
        <v>1.544</v>
      </c>
      <c r="G55" s="242">
        <f t="shared" si="12"/>
        <v>1.544</v>
      </c>
      <c r="H55" s="242">
        <f t="shared" si="12"/>
        <v>1.544</v>
      </c>
      <c r="I55" s="242">
        <f t="shared" si="12"/>
        <v>1.544</v>
      </c>
      <c r="J55" s="242">
        <f t="shared" si="12"/>
        <v>1.544</v>
      </c>
      <c r="K55" s="242">
        <f t="shared" si="12"/>
        <v>1.544</v>
      </c>
      <c r="L55" s="242">
        <f t="shared" si="12"/>
        <v>1.544</v>
      </c>
      <c r="M55" s="242">
        <f t="shared" si="12"/>
        <v>1.544</v>
      </c>
      <c r="N55" s="242">
        <f t="shared" si="12"/>
        <v>1.544</v>
      </c>
      <c r="O55" s="242">
        <f t="shared" si="12"/>
        <v>1.544</v>
      </c>
      <c r="P55" s="243">
        <f t="shared" si="12"/>
        <v>1.544</v>
      </c>
      <c r="Q55" s="50"/>
      <c r="R55" s="50"/>
      <c r="S55" s="50"/>
      <c r="T55" s="50"/>
      <c r="U55" s="50"/>
      <c r="V55" s="50"/>
      <c r="W55" s="50"/>
      <c r="X55" s="50"/>
      <c r="Y55" s="50"/>
      <c r="Z55" s="50"/>
    </row>
    <row r="56" spans="1:26" ht="15.75" customHeight="1" x14ac:dyDescent="0.35">
      <c r="A56" s="50"/>
      <c r="B56" s="46" t="s">
        <v>338</v>
      </c>
      <c r="C56" s="194"/>
      <c r="D56" s="245"/>
      <c r="E56" s="245"/>
      <c r="F56" s="245"/>
      <c r="G56" s="245"/>
      <c r="H56" s="245"/>
      <c r="I56" s="246"/>
      <c r="J56" s="246"/>
      <c r="K56" s="246"/>
      <c r="L56" s="246"/>
      <c r="M56" s="246"/>
      <c r="N56" s="246"/>
      <c r="O56" s="246"/>
      <c r="P56" s="247"/>
      <c r="Q56" s="50"/>
      <c r="R56" s="50"/>
      <c r="S56" s="50"/>
      <c r="T56" s="50"/>
      <c r="U56" s="50"/>
      <c r="V56" s="50"/>
      <c r="W56" s="50"/>
      <c r="X56" s="50"/>
      <c r="Y56" s="50"/>
      <c r="Z56" s="50"/>
    </row>
    <row r="57" spans="1:26" ht="15.75" customHeight="1" x14ac:dyDescent="0.35">
      <c r="A57" s="50"/>
      <c r="B57" s="53" t="s">
        <v>93</v>
      </c>
      <c r="C57" s="63" t="s">
        <v>325</v>
      </c>
      <c r="D57" s="80">
        <f t="shared" ref="D57:P57" si="13">D36*D47</f>
        <v>3088</v>
      </c>
      <c r="E57" s="80">
        <f t="shared" si="13"/>
        <v>3103.44</v>
      </c>
      <c r="F57" s="80">
        <f t="shared" si="13"/>
        <v>3119.0344</v>
      </c>
      <c r="G57" s="80">
        <f t="shared" si="13"/>
        <v>3211.9847439999999</v>
      </c>
      <c r="H57" s="80">
        <f t="shared" si="13"/>
        <v>3308.9525914400001</v>
      </c>
      <c r="I57" s="80">
        <f t="shared" si="13"/>
        <v>3410.1325173543996</v>
      </c>
      <c r="J57" s="80">
        <f t="shared" si="13"/>
        <v>3515.7287625279446</v>
      </c>
      <c r="K57" s="80">
        <f t="shared" si="13"/>
        <v>3625.9557161532234</v>
      </c>
      <c r="L57" s="80">
        <f t="shared" si="13"/>
        <v>3741.0384226147567</v>
      </c>
      <c r="M57" s="80">
        <f t="shared" si="13"/>
        <v>3861.2131136059038</v>
      </c>
      <c r="N57" s="80">
        <f t="shared" si="13"/>
        <v>3986.7277668452134</v>
      </c>
      <c r="O57" s="80">
        <f t="shared" si="13"/>
        <v>4117.8426927220771</v>
      </c>
      <c r="P57" s="300">
        <f t="shared" si="13"/>
        <v>4254.8311502681327</v>
      </c>
      <c r="Q57" s="50"/>
      <c r="R57" s="50"/>
      <c r="S57" s="50"/>
      <c r="T57" s="50"/>
      <c r="U57" s="50"/>
      <c r="V57" s="50"/>
      <c r="W57" s="50"/>
      <c r="X57" s="50"/>
      <c r="Y57" s="50"/>
      <c r="Z57" s="50"/>
    </row>
    <row r="58" spans="1:26" ht="15.75" customHeight="1" x14ac:dyDescent="0.35">
      <c r="A58" s="50"/>
      <c r="B58" s="53" t="s">
        <v>95</v>
      </c>
      <c r="C58" s="63" t="s">
        <v>325</v>
      </c>
      <c r="D58" s="80">
        <f t="shared" ref="D58:P58" si="14">D37*D48</f>
        <v>3088</v>
      </c>
      <c r="E58" s="80">
        <f t="shared" si="14"/>
        <v>3103.44</v>
      </c>
      <c r="F58" s="80">
        <f t="shared" si="14"/>
        <v>3119.0344</v>
      </c>
      <c r="G58" s="80">
        <f t="shared" si="14"/>
        <v>3211.9847439999999</v>
      </c>
      <c r="H58" s="80">
        <f t="shared" si="14"/>
        <v>3308.9525914400001</v>
      </c>
      <c r="I58" s="80">
        <f t="shared" si="14"/>
        <v>3410.1325173543996</v>
      </c>
      <c r="J58" s="80">
        <f t="shared" si="14"/>
        <v>3515.7287625279446</v>
      </c>
      <c r="K58" s="80">
        <f t="shared" si="14"/>
        <v>3625.9557161532234</v>
      </c>
      <c r="L58" s="80">
        <f t="shared" si="14"/>
        <v>3741.0384226147567</v>
      </c>
      <c r="M58" s="80">
        <f t="shared" si="14"/>
        <v>3861.2131136059038</v>
      </c>
      <c r="N58" s="80">
        <f t="shared" si="14"/>
        <v>3986.7277668452134</v>
      </c>
      <c r="O58" s="80">
        <f t="shared" si="14"/>
        <v>4117.8426927220771</v>
      </c>
      <c r="P58" s="300">
        <f t="shared" si="14"/>
        <v>4254.8311502681327</v>
      </c>
      <c r="Q58" s="50"/>
      <c r="R58" s="50"/>
      <c r="S58" s="50"/>
      <c r="T58" s="50"/>
      <c r="U58" s="50"/>
      <c r="V58" s="50"/>
      <c r="W58" s="50"/>
      <c r="X58" s="50"/>
      <c r="Y58" s="50"/>
      <c r="Z58" s="50"/>
    </row>
    <row r="59" spans="1:26" ht="15.75" customHeight="1" x14ac:dyDescent="0.35">
      <c r="A59" s="50"/>
      <c r="B59" s="53" t="s">
        <v>96</v>
      </c>
      <c r="C59" s="63" t="s">
        <v>325</v>
      </c>
      <c r="D59" s="80">
        <f t="shared" ref="D59:P59" si="15">D38*D49</f>
        <v>159.99999999999997</v>
      </c>
      <c r="E59" s="80">
        <f t="shared" si="15"/>
        <v>160.79999999999998</v>
      </c>
      <c r="F59" s="80">
        <f t="shared" si="15"/>
        <v>161.60799999999998</v>
      </c>
      <c r="G59" s="80">
        <f t="shared" si="15"/>
        <v>166.42407999999998</v>
      </c>
      <c r="H59" s="80">
        <f t="shared" si="15"/>
        <v>171.44832079999998</v>
      </c>
      <c r="I59" s="80">
        <f t="shared" si="15"/>
        <v>176.69080400799996</v>
      </c>
      <c r="J59" s="80">
        <f t="shared" si="15"/>
        <v>182.16211204807999</v>
      </c>
      <c r="K59" s="80">
        <f t="shared" si="15"/>
        <v>187.87335316856075</v>
      </c>
      <c r="L59" s="80">
        <f t="shared" si="15"/>
        <v>193.83618770024643</v>
      </c>
      <c r="M59" s="80">
        <f t="shared" si="15"/>
        <v>200.06285562724887</v>
      </c>
      <c r="N59" s="80">
        <f t="shared" si="15"/>
        <v>206.56620553602139</v>
      </c>
      <c r="O59" s="80">
        <f t="shared" si="15"/>
        <v>213.35972501150655</v>
      </c>
      <c r="P59" s="300">
        <f t="shared" si="15"/>
        <v>220.45757255275294</v>
      </c>
      <c r="Q59" s="50"/>
      <c r="R59" s="50"/>
      <c r="S59" s="50"/>
      <c r="T59" s="50"/>
      <c r="U59" s="50"/>
      <c r="V59" s="50"/>
      <c r="W59" s="50"/>
      <c r="X59" s="50"/>
      <c r="Y59" s="50"/>
      <c r="Z59" s="50"/>
    </row>
    <row r="60" spans="1:26" ht="15.75" customHeight="1" x14ac:dyDescent="0.35">
      <c r="A60" s="50"/>
      <c r="B60" s="53" t="s">
        <v>97</v>
      </c>
      <c r="C60" s="63" t="s">
        <v>325</v>
      </c>
      <c r="D60" s="80">
        <f t="shared" ref="D60:P60" si="16">D39*D50</f>
        <v>3088</v>
      </c>
      <c r="E60" s="80">
        <f t="shared" si="16"/>
        <v>3103.44</v>
      </c>
      <c r="F60" s="80">
        <f t="shared" si="16"/>
        <v>3119.0344</v>
      </c>
      <c r="G60" s="80">
        <f t="shared" si="16"/>
        <v>3211.9847439999999</v>
      </c>
      <c r="H60" s="80">
        <f t="shared" si="16"/>
        <v>3308.9525914400001</v>
      </c>
      <c r="I60" s="80">
        <f t="shared" si="16"/>
        <v>3410.1325173543996</v>
      </c>
      <c r="J60" s="80">
        <f t="shared" si="16"/>
        <v>3515.7287625279446</v>
      </c>
      <c r="K60" s="80">
        <f t="shared" si="16"/>
        <v>3625.9557161532234</v>
      </c>
      <c r="L60" s="80">
        <f t="shared" si="16"/>
        <v>3741.0384226147567</v>
      </c>
      <c r="M60" s="80">
        <f t="shared" si="16"/>
        <v>3861.2131136059038</v>
      </c>
      <c r="N60" s="80">
        <f t="shared" si="16"/>
        <v>3986.7277668452134</v>
      </c>
      <c r="O60" s="80">
        <f t="shared" si="16"/>
        <v>4117.8426927220771</v>
      </c>
      <c r="P60" s="300">
        <f t="shared" si="16"/>
        <v>4254.8311502681327</v>
      </c>
      <c r="Q60" s="50"/>
      <c r="R60" s="50"/>
      <c r="S60" s="50"/>
      <c r="T60" s="50"/>
      <c r="U60" s="50"/>
      <c r="V60" s="50"/>
      <c r="W60" s="50"/>
      <c r="X60" s="50"/>
      <c r="Y60" s="50"/>
      <c r="Z60" s="50"/>
    </row>
    <row r="61" spans="1:26" ht="15.75" customHeight="1" x14ac:dyDescent="0.35">
      <c r="A61" s="50"/>
      <c r="B61" s="53" t="s">
        <v>98</v>
      </c>
      <c r="C61" s="63" t="s">
        <v>325</v>
      </c>
      <c r="D61" s="80">
        <f t="shared" ref="D61:P61" si="17">D40*D51</f>
        <v>3088</v>
      </c>
      <c r="E61" s="80">
        <f t="shared" si="17"/>
        <v>3103.44</v>
      </c>
      <c r="F61" s="80">
        <f t="shared" si="17"/>
        <v>3119.0344</v>
      </c>
      <c r="G61" s="80">
        <f t="shared" si="17"/>
        <v>3211.9847439999999</v>
      </c>
      <c r="H61" s="80">
        <f t="shared" si="17"/>
        <v>3308.9525914400001</v>
      </c>
      <c r="I61" s="80">
        <f t="shared" si="17"/>
        <v>3410.1325173543996</v>
      </c>
      <c r="J61" s="80">
        <f t="shared" si="17"/>
        <v>3515.7287625279446</v>
      </c>
      <c r="K61" s="80">
        <f t="shared" si="17"/>
        <v>3625.9557161532234</v>
      </c>
      <c r="L61" s="80">
        <f t="shared" si="17"/>
        <v>3741.0384226147567</v>
      </c>
      <c r="M61" s="80">
        <f t="shared" si="17"/>
        <v>3861.2131136059038</v>
      </c>
      <c r="N61" s="80">
        <f t="shared" si="17"/>
        <v>3986.7277668452134</v>
      </c>
      <c r="O61" s="80">
        <f t="shared" si="17"/>
        <v>4117.8426927220771</v>
      </c>
      <c r="P61" s="300">
        <f t="shared" si="17"/>
        <v>4254.8311502681327</v>
      </c>
      <c r="Q61" s="50"/>
      <c r="R61" s="50"/>
      <c r="S61" s="50"/>
      <c r="T61" s="50"/>
      <c r="U61" s="50"/>
      <c r="V61" s="50"/>
      <c r="W61" s="50"/>
      <c r="X61" s="50"/>
      <c r="Y61" s="50"/>
      <c r="Z61" s="50"/>
    </row>
    <row r="62" spans="1:26" ht="15.75" customHeight="1" x14ac:dyDescent="0.35">
      <c r="A62" s="50"/>
      <c r="B62" s="53" t="s">
        <v>99</v>
      </c>
      <c r="C62" s="63" t="s">
        <v>325</v>
      </c>
      <c r="D62" s="80">
        <f t="shared" ref="D62:P62" si="18">D41*D52</f>
        <v>3088</v>
      </c>
      <c r="E62" s="80">
        <f t="shared" si="18"/>
        <v>3103.44</v>
      </c>
      <c r="F62" s="80">
        <f t="shared" si="18"/>
        <v>3119.0344</v>
      </c>
      <c r="G62" s="80">
        <f t="shared" si="18"/>
        <v>3211.9847439999999</v>
      </c>
      <c r="H62" s="80">
        <f t="shared" si="18"/>
        <v>3308.9525914400001</v>
      </c>
      <c r="I62" s="80">
        <f t="shared" si="18"/>
        <v>3410.1325173543996</v>
      </c>
      <c r="J62" s="80">
        <f t="shared" si="18"/>
        <v>3515.7287625279446</v>
      </c>
      <c r="K62" s="80">
        <f t="shared" si="18"/>
        <v>3625.9557161532234</v>
      </c>
      <c r="L62" s="80">
        <f t="shared" si="18"/>
        <v>3741.0384226147567</v>
      </c>
      <c r="M62" s="80">
        <f t="shared" si="18"/>
        <v>3861.2131136059038</v>
      </c>
      <c r="N62" s="80">
        <f t="shared" si="18"/>
        <v>3986.7277668452134</v>
      </c>
      <c r="O62" s="80">
        <f t="shared" si="18"/>
        <v>4117.8426927220771</v>
      </c>
      <c r="P62" s="300">
        <f t="shared" si="18"/>
        <v>4254.8311502681327</v>
      </c>
      <c r="Q62" s="50"/>
      <c r="R62" s="50"/>
      <c r="S62" s="50"/>
      <c r="T62" s="50"/>
      <c r="U62" s="50"/>
      <c r="V62" s="50"/>
      <c r="W62" s="50"/>
      <c r="X62" s="50"/>
      <c r="Y62" s="50"/>
      <c r="Z62" s="50"/>
    </row>
    <row r="63" spans="1:26" ht="15.75" customHeight="1" x14ac:dyDescent="0.35">
      <c r="A63" s="50"/>
      <c r="B63" s="53" t="s">
        <v>100</v>
      </c>
      <c r="C63" s="63" t="s">
        <v>325</v>
      </c>
      <c r="D63" s="80">
        <f t="shared" ref="D63:P63" si="19">D42*D53</f>
        <v>3088</v>
      </c>
      <c r="E63" s="80">
        <f t="shared" si="19"/>
        <v>3103.44</v>
      </c>
      <c r="F63" s="80">
        <f t="shared" si="19"/>
        <v>3119.0344</v>
      </c>
      <c r="G63" s="80">
        <f t="shared" si="19"/>
        <v>3211.9847439999999</v>
      </c>
      <c r="H63" s="80">
        <f t="shared" si="19"/>
        <v>3308.9525914400001</v>
      </c>
      <c r="I63" s="80">
        <f t="shared" si="19"/>
        <v>3410.1325173543996</v>
      </c>
      <c r="J63" s="80">
        <f t="shared" si="19"/>
        <v>3515.7287625279446</v>
      </c>
      <c r="K63" s="80">
        <f t="shared" si="19"/>
        <v>3625.9557161532234</v>
      </c>
      <c r="L63" s="80">
        <f t="shared" si="19"/>
        <v>3741.0384226147567</v>
      </c>
      <c r="M63" s="80">
        <f t="shared" si="19"/>
        <v>3861.2131136059038</v>
      </c>
      <c r="N63" s="80">
        <f t="shared" si="19"/>
        <v>3986.7277668452134</v>
      </c>
      <c r="O63" s="80">
        <f t="shared" si="19"/>
        <v>4117.8426927220771</v>
      </c>
      <c r="P63" s="300">
        <f t="shared" si="19"/>
        <v>4254.8311502681327</v>
      </c>
      <c r="Q63" s="50"/>
      <c r="R63" s="50"/>
      <c r="S63" s="50"/>
      <c r="T63" s="50"/>
      <c r="U63" s="50"/>
      <c r="V63" s="50"/>
      <c r="W63" s="50"/>
      <c r="X63" s="50"/>
      <c r="Y63" s="50"/>
      <c r="Z63" s="50"/>
    </row>
    <row r="64" spans="1:26" ht="15.75" customHeight="1" x14ac:dyDescent="0.35">
      <c r="A64" s="50"/>
      <c r="B64" s="53" t="s">
        <v>101</v>
      </c>
      <c r="C64" s="63" t="s">
        <v>325</v>
      </c>
      <c r="D64" s="80">
        <f t="shared" ref="D64:P64" si="20">D43*D54</f>
        <v>3088</v>
      </c>
      <c r="E64" s="80">
        <f t="shared" si="20"/>
        <v>3103.44</v>
      </c>
      <c r="F64" s="80">
        <f t="shared" si="20"/>
        <v>3119.0344</v>
      </c>
      <c r="G64" s="80">
        <f t="shared" si="20"/>
        <v>3211.9847439999999</v>
      </c>
      <c r="H64" s="80">
        <f t="shared" si="20"/>
        <v>3308.9525914400001</v>
      </c>
      <c r="I64" s="80">
        <f t="shared" si="20"/>
        <v>3410.1325173543996</v>
      </c>
      <c r="J64" s="80">
        <f t="shared" si="20"/>
        <v>3515.7287625279446</v>
      </c>
      <c r="K64" s="80">
        <f t="shared" si="20"/>
        <v>3625.9557161532234</v>
      </c>
      <c r="L64" s="80">
        <f t="shared" si="20"/>
        <v>3741.0384226147567</v>
      </c>
      <c r="M64" s="80">
        <f t="shared" si="20"/>
        <v>3861.2131136059038</v>
      </c>
      <c r="N64" s="80">
        <f t="shared" si="20"/>
        <v>3986.7277668452134</v>
      </c>
      <c r="O64" s="80">
        <f t="shared" si="20"/>
        <v>4117.8426927220771</v>
      </c>
      <c r="P64" s="300">
        <f t="shared" si="20"/>
        <v>4254.8311502681327</v>
      </c>
      <c r="Q64" s="50"/>
      <c r="R64" s="50"/>
      <c r="S64" s="50"/>
      <c r="T64" s="50"/>
      <c r="U64" s="50"/>
      <c r="V64" s="50"/>
      <c r="W64" s="50"/>
      <c r="X64" s="50"/>
      <c r="Y64" s="50"/>
      <c r="Z64" s="50"/>
    </row>
    <row r="65" spans="1:26" ht="15.75" customHeight="1" x14ac:dyDescent="0.35">
      <c r="A65" s="50"/>
      <c r="B65" s="53" t="s">
        <v>102</v>
      </c>
      <c r="C65" s="63" t="s">
        <v>325</v>
      </c>
      <c r="D65" s="80">
        <f t="shared" ref="D65:P65" si="21">D44*D55</f>
        <v>3088</v>
      </c>
      <c r="E65" s="80">
        <f t="shared" si="21"/>
        <v>3103.44</v>
      </c>
      <c r="F65" s="80">
        <f t="shared" si="21"/>
        <v>3119.0344</v>
      </c>
      <c r="G65" s="80">
        <f t="shared" si="21"/>
        <v>3211.9847439999999</v>
      </c>
      <c r="H65" s="80">
        <f t="shared" si="21"/>
        <v>3308.9525914400001</v>
      </c>
      <c r="I65" s="80">
        <f t="shared" si="21"/>
        <v>3410.1325173543996</v>
      </c>
      <c r="J65" s="80">
        <f t="shared" si="21"/>
        <v>3515.7287625279446</v>
      </c>
      <c r="K65" s="80">
        <f t="shared" si="21"/>
        <v>3625.9557161532234</v>
      </c>
      <c r="L65" s="80">
        <f t="shared" si="21"/>
        <v>3741.0384226147567</v>
      </c>
      <c r="M65" s="80">
        <f t="shared" si="21"/>
        <v>3861.2131136059038</v>
      </c>
      <c r="N65" s="80">
        <f t="shared" si="21"/>
        <v>3986.7277668452134</v>
      </c>
      <c r="O65" s="80">
        <f t="shared" si="21"/>
        <v>4117.8426927220771</v>
      </c>
      <c r="P65" s="300">
        <f t="shared" si="21"/>
        <v>4254.8311502681327</v>
      </c>
      <c r="Q65" s="50"/>
      <c r="R65" s="50"/>
      <c r="S65" s="50"/>
      <c r="T65" s="50"/>
      <c r="U65" s="50"/>
      <c r="V65" s="50"/>
      <c r="W65" s="50"/>
      <c r="X65" s="50"/>
      <c r="Y65" s="50"/>
      <c r="Z65" s="50"/>
    </row>
    <row r="66" spans="1:26" ht="15.75" customHeight="1" x14ac:dyDescent="0.35">
      <c r="A66" s="50"/>
      <c r="B66" s="301" t="s">
        <v>200</v>
      </c>
      <c r="C66" s="63" t="s">
        <v>325</v>
      </c>
      <c r="D66" s="118">
        <f t="shared" ref="D66:P66" si="22">SUM(D57:D65)</f>
        <v>24864</v>
      </c>
      <c r="E66" s="118">
        <f t="shared" si="22"/>
        <v>24988.32</v>
      </c>
      <c r="F66" s="118">
        <f t="shared" si="22"/>
        <v>25113.8832</v>
      </c>
      <c r="G66" s="118">
        <f t="shared" si="22"/>
        <v>25862.302032</v>
      </c>
      <c r="H66" s="118">
        <f t="shared" si="22"/>
        <v>26643.069052320003</v>
      </c>
      <c r="I66" s="118">
        <f t="shared" si="22"/>
        <v>27457.750942843195</v>
      </c>
      <c r="J66" s="118">
        <f t="shared" si="22"/>
        <v>28307.992212271642</v>
      </c>
      <c r="K66" s="118">
        <f t="shared" si="22"/>
        <v>29195.519082394352</v>
      </c>
      <c r="L66" s="118">
        <f t="shared" si="22"/>
        <v>30122.143568618303</v>
      </c>
      <c r="M66" s="118">
        <f t="shared" si="22"/>
        <v>31089.767764474476</v>
      </c>
      <c r="N66" s="118">
        <f t="shared" si="22"/>
        <v>32100.38834029773</v>
      </c>
      <c r="O66" s="118">
        <f t="shared" si="22"/>
        <v>33156.10126678813</v>
      </c>
      <c r="P66" s="119">
        <f t="shared" si="22"/>
        <v>34259.106774697808</v>
      </c>
      <c r="Q66" s="50"/>
      <c r="R66" s="50"/>
      <c r="S66" s="50"/>
      <c r="T66" s="50"/>
      <c r="U66" s="50"/>
      <c r="V66" s="50"/>
      <c r="W66" s="50"/>
      <c r="X66" s="50"/>
      <c r="Y66" s="50"/>
      <c r="Z66" s="50"/>
    </row>
    <row r="67" spans="1:26" ht="15.75" customHeight="1" x14ac:dyDescent="0.35">
      <c r="A67" s="237"/>
      <c r="B67" s="46" t="s">
        <v>339</v>
      </c>
      <c r="C67" s="302" t="s">
        <v>202</v>
      </c>
      <c r="D67" s="80">
        <f>D19</f>
        <v>48</v>
      </c>
      <c r="E67" s="80">
        <f>D19</f>
        <v>48</v>
      </c>
      <c r="F67" s="80">
        <f>D20</f>
        <v>48</v>
      </c>
      <c r="G67" s="80">
        <f>D21</f>
        <v>48</v>
      </c>
      <c r="H67" s="80">
        <f>D22</f>
        <v>48</v>
      </c>
      <c r="I67" s="80">
        <f>D23</f>
        <v>48</v>
      </c>
      <c r="J67" s="80">
        <f>D24</f>
        <v>48</v>
      </c>
      <c r="K67" s="80">
        <f>D25</f>
        <v>48</v>
      </c>
      <c r="L67" s="80">
        <f>D26</f>
        <v>217</v>
      </c>
      <c r="M67" s="80">
        <f>D27</f>
        <v>217</v>
      </c>
      <c r="N67" s="80">
        <f>D28</f>
        <v>200</v>
      </c>
      <c r="O67" s="80">
        <f>D29</f>
        <v>193</v>
      </c>
      <c r="P67" s="300">
        <f>D30</f>
        <v>175</v>
      </c>
      <c r="Q67" s="237"/>
      <c r="R67" s="237"/>
      <c r="S67" s="237"/>
      <c r="T67" s="237"/>
      <c r="U67" s="237"/>
      <c r="V67" s="237"/>
      <c r="W67" s="237"/>
      <c r="X67" s="237"/>
      <c r="Y67" s="237"/>
      <c r="Z67" s="237"/>
    </row>
    <row r="68" spans="1:26" ht="15.75" customHeight="1" x14ac:dyDescent="0.35">
      <c r="A68" s="237"/>
      <c r="B68" s="46" t="s">
        <v>340</v>
      </c>
      <c r="C68" s="302" t="s">
        <v>202</v>
      </c>
      <c r="D68" s="118">
        <f t="shared" ref="D68:P68" si="23">(D66*D67)/1000</f>
        <v>1193.472</v>
      </c>
      <c r="E68" s="118">
        <f t="shared" si="23"/>
        <v>1199.4393599999999</v>
      </c>
      <c r="F68" s="118">
        <f t="shared" si="23"/>
        <v>1205.4663936000002</v>
      </c>
      <c r="G68" s="118">
        <f t="shared" si="23"/>
        <v>1241.3904975359999</v>
      </c>
      <c r="H68" s="118">
        <f t="shared" si="23"/>
        <v>1278.8673145113601</v>
      </c>
      <c r="I68" s="118">
        <f t="shared" si="23"/>
        <v>1317.9720452564734</v>
      </c>
      <c r="J68" s="118">
        <f t="shared" si="23"/>
        <v>1358.7836261890388</v>
      </c>
      <c r="K68" s="118">
        <f t="shared" si="23"/>
        <v>1401.3849159549288</v>
      </c>
      <c r="L68" s="118">
        <f t="shared" si="23"/>
        <v>6536.5051543901718</v>
      </c>
      <c r="M68" s="118">
        <f t="shared" si="23"/>
        <v>6746.4796048909611</v>
      </c>
      <c r="N68" s="118">
        <f t="shared" si="23"/>
        <v>6420.0776680595454</v>
      </c>
      <c r="O68" s="118">
        <f t="shared" si="23"/>
        <v>6399.1275444901094</v>
      </c>
      <c r="P68" s="119">
        <f t="shared" si="23"/>
        <v>5995.3436855721166</v>
      </c>
      <c r="Q68" s="237"/>
      <c r="R68" s="237"/>
      <c r="S68" s="237"/>
      <c r="T68" s="237"/>
      <c r="U68" s="237"/>
      <c r="V68" s="237"/>
      <c r="W68" s="237"/>
      <c r="X68" s="237"/>
      <c r="Y68" s="237"/>
      <c r="Z68" s="237"/>
    </row>
    <row r="69" spans="1:26" ht="15.75" customHeight="1" x14ac:dyDescent="0.35">
      <c r="A69" s="50"/>
      <c r="B69" s="131" t="s">
        <v>137</v>
      </c>
      <c r="C69" s="303" t="s">
        <v>138</v>
      </c>
      <c r="D69" s="133">
        <f t="array" ref="D69">NPV(D31,D68:P68)</f>
        <v>27038.542366192596</v>
      </c>
      <c r="E69" s="134"/>
      <c r="F69" s="134"/>
      <c r="G69" s="134"/>
      <c r="H69" s="134"/>
      <c r="I69" s="134"/>
      <c r="J69" s="134"/>
      <c r="K69" s="134"/>
      <c r="L69" s="134"/>
      <c r="M69" s="134"/>
      <c r="N69" s="134"/>
      <c r="O69" s="134"/>
      <c r="P69" s="136"/>
      <c r="Q69" s="50"/>
      <c r="R69" s="50"/>
      <c r="S69" s="50"/>
      <c r="T69" s="50"/>
      <c r="U69" s="50"/>
      <c r="V69" s="50"/>
      <c r="W69" s="50"/>
      <c r="X69" s="50"/>
      <c r="Y69" s="50"/>
      <c r="Z69" s="50"/>
    </row>
    <row r="70" spans="1:26" ht="15.75" customHeight="1" x14ac:dyDescent="0.35">
      <c r="A70" s="50"/>
      <c r="B70" s="50"/>
      <c r="C70" s="63"/>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x14ac:dyDescent="0.35">
      <c r="A71" s="50"/>
      <c r="B71" s="202"/>
      <c r="C71" s="63"/>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x14ac:dyDescent="0.35">
      <c r="A72" s="50"/>
      <c r="B72" s="192"/>
      <c r="C72" s="63"/>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x14ac:dyDescent="0.35">
      <c r="A73" s="50"/>
      <c r="B73" s="192"/>
      <c r="C73" s="63"/>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x14ac:dyDescent="0.35">
      <c r="A74" s="50"/>
      <c r="B74" s="192"/>
      <c r="C74" s="63"/>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x14ac:dyDescent="0.35">
      <c r="A75" s="50"/>
      <c r="B75" s="192"/>
      <c r="C75" s="63"/>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x14ac:dyDescent="0.35">
      <c r="A76" s="50"/>
      <c r="B76" s="192"/>
      <c r="C76" s="63"/>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x14ac:dyDescent="0.35">
      <c r="A77" s="50"/>
      <c r="B77" s="50"/>
      <c r="C77" s="63"/>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x14ac:dyDescent="0.35">
      <c r="A78" s="50"/>
      <c r="B78" s="50"/>
      <c r="C78" s="63"/>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x14ac:dyDescent="0.35">
      <c r="A79" s="50"/>
      <c r="B79" s="50"/>
      <c r="C79" s="63"/>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x14ac:dyDescent="0.35">
      <c r="A80" s="50"/>
      <c r="B80" s="304"/>
      <c r="C80" s="63"/>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x14ac:dyDescent="0.35">
      <c r="A81" s="50"/>
      <c r="B81" s="50"/>
      <c r="C81" s="63"/>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x14ac:dyDescent="0.35">
      <c r="A82" s="50"/>
      <c r="B82" s="50"/>
      <c r="C82" s="63"/>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x14ac:dyDescent="0.35">
      <c r="A83" s="50"/>
      <c r="B83" s="50"/>
      <c r="C83" s="63"/>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x14ac:dyDescent="0.35">
      <c r="A84" s="50"/>
      <c r="B84" s="50"/>
      <c r="C84" s="63"/>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x14ac:dyDescent="0.35">
      <c r="A85" s="50"/>
      <c r="B85" s="50"/>
      <c r="C85" s="63"/>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x14ac:dyDescent="0.35">
      <c r="A86" s="50"/>
      <c r="B86" s="50"/>
      <c r="C86" s="63"/>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x14ac:dyDescent="0.35">
      <c r="A87" s="50"/>
      <c r="B87" s="50"/>
      <c r="C87" s="63"/>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35">
      <c r="A88" s="50"/>
      <c r="B88" s="50"/>
      <c r="C88" s="63"/>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35">
      <c r="A89" s="50"/>
      <c r="B89" s="50"/>
      <c r="C89" s="63"/>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35">
      <c r="A90" s="50"/>
      <c r="B90" s="50"/>
      <c r="C90" s="63"/>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35">
      <c r="A91" s="50"/>
      <c r="B91" s="50"/>
      <c r="C91" s="63"/>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35">
      <c r="A92" s="50"/>
      <c r="B92" s="50"/>
      <c r="C92" s="63"/>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35">
      <c r="A93" s="50"/>
      <c r="B93" s="50"/>
      <c r="C93" s="63"/>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35">
      <c r="A94" s="50"/>
      <c r="B94" s="50"/>
      <c r="C94" s="63"/>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35">
      <c r="A95" s="50"/>
      <c r="B95" s="50"/>
      <c r="C95" s="63"/>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35">
      <c r="A96" s="50"/>
      <c r="B96" s="50"/>
      <c r="C96" s="63"/>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35">
      <c r="A97" s="50"/>
      <c r="B97" s="50"/>
      <c r="C97" s="63"/>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35">
      <c r="A98" s="50"/>
      <c r="B98" s="50"/>
      <c r="C98" s="63"/>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35">
      <c r="A99" s="50"/>
      <c r="B99" s="50"/>
      <c r="C99" s="63"/>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35">
      <c r="A100" s="50"/>
      <c r="B100" s="50"/>
      <c r="C100" s="63"/>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35">
      <c r="A101" s="50"/>
      <c r="B101" s="50"/>
      <c r="C101" s="63"/>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35">
      <c r="A102" s="50"/>
      <c r="B102" s="50"/>
      <c r="C102" s="63"/>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35">
      <c r="A103" s="50"/>
      <c r="B103" s="50"/>
      <c r="C103" s="63"/>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35">
      <c r="A104" s="50"/>
      <c r="B104" s="50"/>
      <c r="C104" s="63"/>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35">
      <c r="A105" s="50"/>
      <c r="B105" s="50"/>
      <c r="C105" s="63"/>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35">
      <c r="A106" s="50"/>
      <c r="B106" s="50"/>
      <c r="C106" s="63"/>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35">
      <c r="A107" s="50"/>
      <c r="B107" s="50"/>
      <c r="C107" s="63"/>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35">
      <c r="A108" s="50"/>
      <c r="B108" s="50"/>
      <c r="C108" s="63"/>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35">
      <c r="A109" s="50"/>
      <c r="B109" s="50"/>
      <c r="C109" s="63"/>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35">
      <c r="A110" s="50"/>
      <c r="B110" s="50"/>
      <c r="C110" s="63"/>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35">
      <c r="A111" s="50"/>
      <c r="B111" s="50"/>
      <c r="C111" s="63"/>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35">
      <c r="A112" s="50"/>
      <c r="B112" s="50"/>
      <c r="C112" s="63"/>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35">
      <c r="A113" s="50"/>
      <c r="B113" s="50"/>
      <c r="C113" s="63"/>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50"/>
      <c r="C114" s="63"/>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63"/>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63"/>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63"/>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63"/>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63"/>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63"/>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63"/>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63"/>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63"/>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63"/>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63"/>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63"/>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63"/>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63"/>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63"/>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63"/>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63"/>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63"/>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63"/>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63"/>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63"/>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63"/>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63"/>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63"/>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63"/>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63"/>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63"/>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63"/>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63"/>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63"/>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63"/>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63"/>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63"/>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63"/>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63"/>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63"/>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63"/>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63"/>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63"/>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63"/>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63"/>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63"/>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63"/>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63"/>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63"/>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63"/>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63"/>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63"/>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63"/>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63"/>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63"/>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63"/>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63"/>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63"/>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63"/>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63"/>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
      <c r="C212" s="262"/>
    </row>
    <row r="213" spans="1:26" ht="15.75" customHeight="1" x14ac:dyDescent="0.3">
      <c r="C213" s="262"/>
    </row>
    <row r="214" spans="1:26" ht="15.75" customHeight="1" x14ac:dyDescent="0.3">
      <c r="C214" s="262"/>
    </row>
    <row r="215" spans="1:26" ht="15.75" customHeight="1" x14ac:dyDescent="0.3">
      <c r="C215" s="262"/>
    </row>
    <row r="216" spans="1:26" ht="15.75" customHeight="1" x14ac:dyDescent="0.3">
      <c r="C216" s="262"/>
    </row>
    <row r="217" spans="1:26" ht="15.75" customHeight="1" x14ac:dyDescent="0.3">
      <c r="C217" s="262"/>
    </row>
    <row r="218" spans="1:26" ht="15.75" customHeight="1" x14ac:dyDescent="0.3">
      <c r="C218" s="262"/>
    </row>
    <row r="219" spans="1:26" ht="15.75" customHeight="1" x14ac:dyDescent="0.3">
      <c r="C219" s="262"/>
    </row>
    <row r="220" spans="1:26" ht="15.75" customHeight="1" x14ac:dyDescent="0.3">
      <c r="C220" s="262"/>
    </row>
    <row r="221" spans="1:26" ht="15.75" customHeight="1" x14ac:dyDescent="0.3">
      <c r="C221" s="262"/>
    </row>
    <row r="222" spans="1:26" ht="15.75" customHeight="1" x14ac:dyDescent="0.3">
      <c r="C222" s="262"/>
    </row>
    <row r="223" spans="1:26" ht="15.75" customHeight="1" x14ac:dyDescent="0.3">
      <c r="C223" s="262"/>
    </row>
    <row r="224" spans="1:26" ht="15.75" customHeight="1" x14ac:dyDescent="0.3">
      <c r="C224" s="262"/>
    </row>
    <row r="225" spans="3:3" ht="15.75" customHeight="1" x14ac:dyDescent="0.3">
      <c r="C225" s="262"/>
    </row>
    <row r="226" spans="3:3" ht="15.75" customHeight="1" x14ac:dyDescent="0.3">
      <c r="C226" s="262"/>
    </row>
    <row r="227" spans="3:3" ht="15.75" customHeight="1" x14ac:dyDescent="0.3">
      <c r="C227" s="262"/>
    </row>
    <row r="228" spans="3:3" ht="15.75" customHeight="1" x14ac:dyDescent="0.3">
      <c r="C228" s="262"/>
    </row>
    <row r="229" spans="3:3" ht="15.75" customHeight="1" x14ac:dyDescent="0.3">
      <c r="C229" s="262"/>
    </row>
    <row r="230" spans="3:3" ht="15.75" customHeight="1" x14ac:dyDescent="0.3">
      <c r="C230" s="262"/>
    </row>
    <row r="231" spans="3:3" ht="15.75" customHeight="1" x14ac:dyDescent="0.3">
      <c r="C231" s="262"/>
    </row>
    <row r="232" spans="3:3" ht="15.75" customHeight="1" x14ac:dyDescent="0.3">
      <c r="C232" s="262"/>
    </row>
    <row r="233" spans="3:3" ht="15.75" customHeight="1" x14ac:dyDescent="0.3">
      <c r="C233" s="262"/>
    </row>
    <row r="234" spans="3:3" ht="15.75" customHeight="1" x14ac:dyDescent="0.3">
      <c r="C234" s="262"/>
    </row>
    <row r="235" spans="3:3" ht="15.75" customHeight="1" x14ac:dyDescent="0.3">
      <c r="C235" s="262"/>
    </row>
    <row r="236" spans="3:3" ht="15.75" customHeight="1" x14ac:dyDescent="0.3">
      <c r="C236" s="262"/>
    </row>
    <row r="237" spans="3:3" ht="15.75" customHeight="1" x14ac:dyDescent="0.3">
      <c r="C237" s="262"/>
    </row>
    <row r="238" spans="3:3" ht="15.75" customHeight="1" x14ac:dyDescent="0.3">
      <c r="C238" s="262"/>
    </row>
    <row r="239" spans="3:3" ht="15.75" customHeight="1" x14ac:dyDescent="0.3">
      <c r="C239" s="262"/>
    </row>
    <row r="240" spans="3:3" ht="15.75" customHeight="1" x14ac:dyDescent="0.3">
      <c r="C240" s="262"/>
    </row>
    <row r="241" spans="3:3" ht="15.75" customHeight="1" x14ac:dyDescent="0.3">
      <c r="C241" s="262"/>
    </row>
    <row r="242" spans="3:3" ht="15.75" customHeight="1" x14ac:dyDescent="0.3">
      <c r="C242" s="262"/>
    </row>
    <row r="243" spans="3:3" ht="15.75" customHeight="1" x14ac:dyDescent="0.3">
      <c r="C243" s="262"/>
    </row>
    <row r="244" spans="3:3" ht="15.75" customHeight="1" x14ac:dyDescent="0.3">
      <c r="C244" s="262"/>
    </row>
    <row r="245" spans="3:3" ht="15.75" customHeight="1" x14ac:dyDescent="0.3">
      <c r="C245" s="262"/>
    </row>
    <row r="246" spans="3:3" ht="15.75" customHeight="1" x14ac:dyDescent="0.3">
      <c r="C246" s="262"/>
    </row>
    <row r="247" spans="3:3" ht="15.75" customHeight="1" x14ac:dyDescent="0.3">
      <c r="C247" s="262"/>
    </row>
    <row r="248" spans="3:3" ht="15.75" customHeight="1" x14ac:dyDescent="0.3">
      <c r="C248" s="262"/>
    </row>
    <row r="249" spans="3:3" ht="15.75" customHeight="1" x14ac:dyDescent="0.3">
      <c r="C249" s="262"/>
    </row>
    <row r="250" spans="3:3" ht="15.75" customHeight="1" x14ac:dyDescent="0.3">
      <c r="C250" s="262"/>
    </row>
    <row r="251" spans="3:3" ht="15.75" customHeight="1" x14ac:dyDescent="0.3">
      <c r="C251" s="262"/>
    </row>
    <row r="252" spans="3:3" ht="15.75" customHeight="1" x14ac:dyDescent="0.3">
      <c r="C252" s="262"/>
    </row>
    <row r="253" spans="3:3" ht="15.75" customHeight="1" x14ac:dyDescent="0.3">
      <c r="C253" s="262"/>
    </row>
    <row r="254" spans="3:3" ht="15.75" customHeight="1" x14ac:dyDescent="0.3">
      <c r="C254" s="262"/>
    </row>
    <row r="255" spans="3:3" ht="15.75" customHeight="1" x14ac:dyDescent="0.3">
      <c r="C255" s="262"/>
    </row>
    <row r="256" spans="3:3" ht="15.75" customHeight="1" x14ac:dyDescent="0.3">
      <c r="C256" s="262"/>
    </row>
    <row r="257" spans="3:3" ht="15.75" customHeight="1" x14ac:dyDescent="0.3">
      <c r="C257" s="262"/>
    </row>
    <row r="258" spans="3:3" ht="15.75" customHeight="1" x14ac:dyDescent="0.3">
      <c r="C258" s="262"/>
    </row>
    <row r="259" spans="3:3" ht="15.75" customHeight="1" x14ac:dyDescent="0.3">
      <c r="C259" s="262"/>
    </row>
    <row r="260" spans="3:3" ht="15.75" customHeight="1" x14ac:dyDescent="0.3">
      <c r="C260" s="262"/>
    </row>
    <row r="261" spans="3:3" ht="15.75" customHeight="1" x14ac:dyDescent="0.3">
      <c r="C261" s="262"/>
    </row>
    <row r="262" spans="3:3" ht="15.75" customHeight="1" x14ac:dyDescent="0.3">
      <c r="C262" s="262"/>
    </row>
    <row r="263" spans="3:3" ht="15.75" customHeight="1" x14ac:dyDescent="0.3">
      <c r="C263" s="262"/>
    </row>
    <row r="264" spans="3:3" ht="15.75" customHeight="1" x14ac:dyDescent="0.3">
      <c r="C264" s="262"/>
    </row>
    <row r="265" spans="3:3" ht="15.75" customHeight="1" x14ac:dyDescent="0.3">
      <c r="C265" s="262"/>
    </row>
    <row r="266" spans="3:3" ht="15.75" customHeight="1" x14ac:dyDescent="0.3">
      <c r="C266" s="262"/>
    </row>
    <row r="267" spans="3:3" ht="15.75" customHeight="1" x14ac:dyDescent="0.3">
      <c r="C267" s="262"/>
    </row>
    <row r="268" spans="3:3" ht="15.75" customHeight="1" x14ac:dyDescent="0.3">
      <c r="C268" s="262"/>
    </row>
    <row r="269" spans="3:3" ht="15.75" customHeight="1" x14ac:dyDescent="0.3">
      <c r="C269" s="262"/>
    </row>
    <row r="270" spans="3:3" ht="15.75" customHeight="1" x14ac:dyDescent="0.3"/>
    <row r="271" spans="3:3" ht="15.75" customHeight="1" x14ac:dyDescent="0.3"/>
    <row r="272" spans="3:3"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8">
    <mergeCell ref="E12:K16"/>
    <mergeCell ref="E21:K23"/>
    <mergeCell ref="D33:F33"/>
    <mergeCell ref="B4:D4"/>
    <mergeCell ref="B5:D5"/>
    <mergeCell ref="B6:D6"/>
    <mergeCell ref="B7:D7"/>
    <mergeCell ref="B8:D8"/>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74.8984375" customWidth="1"/>
    <col min="3" max="3" width="12.8984375" customWidth="1"/>
    <col min="4" max="4" width="16.59765625" customWidth="1"/>
    <col min="5" max="5" width="16.8984375" customWidth="1"/>
    <col min="6" max="7" width="17.09765625" customWidth="1"/>
    <col min="8" max="8" width="16.8984375" customWidth="1"/>
    <col min="9" max="9" width="18.3984375" customWidth="1"/>
    <col min="10" max="10" width="17.3984375" customWidth="1"/>
    <col min="11" max="11" width="17.69921875" customWidth="1"/>
    <col min="12" max="12" width="17.3984375" customWidth="1"/>
    <col min="13" max="13" width="16.3984375" customWidth="1"/>
    <col min="14" max="14" width="16.296875" customWidth="1"/>
    <col min="15" max="15" width="16.3984375" customWidth="1"/>
    <col min="16" max="16" width="18.3984375" customWidth="1"/>
    <col min="17" max="26" width="12.69921875" customWidth="1"/>
  </cols>
  <sheetData>
    <row r="1" spans="1:26" ht="15.5"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254</v>
      </c>
      <c r="C2" s="47"/>
      <c r="D2" s="33" t="s">
        <v>183</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47"/>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320</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36" customHeight="1" x14ac:dyDescent="0.35">
      <c r="A6" s="50"/>
      <c r="B6" s="557" t="s">
        <v>321</v>
      </c>
      <c r="C6" s="546"/>
      <c r="D6" s="558"/>
      <c r="E6" s="32"/>
      <c r="F6" s="32"/>
      <c r="G6" s="32"/>
      <c r="H6" s="32"/>
      <c r="I6" s="32"/>
      <c r="J6" s="32"/>
      <c r="K6" s="32"/>
      <c r="L6" s="50"/>
      <c r="M6" s="50"/>
      <c r="N6" s="50"/>
      <c r="O6" s="50"/>
      <c r="P6" s="50"/>
      <c r="Q6" s="50"/>
      <c r="R6" s="50"/>
      <c r="S6" s="50"/>
      <c r="T6" s="50"/>
      <c r="U6" s="50"/>
      <c r="V6" s="50"/>
      <c r="W6" s="50"/>
      <c r="X6" s="50"/>
      <c r="Y6" s="50"/>
      <c r="Z6" s="50"/>
    </row>
    <row r="7" spans="1:26" ht="15.5" x14ac:dyDescent="0.35">
      <c r="A7" s="50"/>
      <c r="B7" s="569" t="s">
        <v>341</v>
      </c>
      <c r="C7" s="546"/>
      <c r="D7" s="558"/>
      <c r="E7" s="32"/>
      <c r="F7" s="32"/>
      <c r="G7" s="32"/>
      <c r="H7" s="32"/>
      <c r="I7" s="32"/>
      <c r="J7" s="32"/>
      <c r="K7" s="32"/>
      <c r="L7" s="50"/>
      <c r="M7" s="50"/>
      <c r="N7" s="50"/>
      <c r="O7" s="50"/>
      <c r="P7" s="50"/>
      <c r="Q7" s="50"/>
      <c r="R7" s="50"/>
      <c r="S7" s="50"/>
      <c r="T7" s="50"/>
      <c r="U7" s="50"/>
      <c r="V7" s="50"/>
      <c r="W7" s="50"/>
      <c r="X7" s="50"/>
      <c r="Y7" s="50"/>
      <c r="Z7" s="50"/>
    </row>
    <row r="8" spans="1:26" ht="102.75" customHeight="1" x14ac:dyDescent="0.35">
      <c r="A8" s="50"/>
      <c r="B8" s="572" t="s">
        <v>322</v>
      </c>
      <c r="C8" s="573"/>
      <c r="D8" s="574"/>
      <c r="E8" s="575"/>
      <c r="F8" s="546"/>
      <c r="G8" s="534"/>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305" t="s">
        <v>85</v>
      </c>
      <c r="C10" s="84"/>
      <c r="D10" s="285" t="s">
        <v>143</v>
      </c>
      <c r="E10" s="562" t="s">
        <v>87</v>
      </c>
      <c r="F10" s="552"/>
      <c r="G10" s="552"/>
      <c r="H10" s="552"/>
      <c r="I10" s="552"/>
      <c r="J10" s="552"/>
      <c r="K10" s="555"/>
      <c r="L10" s="50"/>
      <c r="M10" s="50"/>
      <c r="N10" s="50"/>
      <c r="O10" s="50"/>
      <c r="P10" s="50"/>
      <c r="Q10" s="50"/>
      <c r="R10" s="50"/>
      <c r="S10" s="50"/>
      <c r="T10" s="50"/>
      <c r="U10" s="50"/>
      <c r="V10" s="50"/>
      <c r="W10" s="50"/>
      <c r="X10" s="50"/>
      <c r="Y10" s="50"/>
      <c r="Z10" s="50"/>
    </row>
    <row r="11" spans="1:26" ht="15.75" customHeight="1" x14ac:dyDescent="0.35">
      <c r="A11" s="50"/>
      <c r="B11" s="96" t="s">
        <v>323</v>
      </c>
      <c r="C11" s="88"/>
      <c r="D11" s="292"/>
      <c r="E11" s="91"/>
      <c r="F11" s="91"/>
      <c r="G11" s="91"/>
      <c r="H11" s="91"/>
      <c r="I11" s="91"/>
      <c r="J11" s="91"/>
      <c r="K11" s="92"/>
      <c r="L11" s="50"/>
      <c r="M11" s="50"/>
      <c r="N11" s="50"/>
      <c r="O11" s="50"/>
      <c r="P11" s="50"/>
      <c r="Q11" s="50"/>
      <c r="R11" s="50"/>
      <c r="S11" s="50"/>
      <c r="T11" s="50"/>
      <c r="U11" s="50"/>
      <c r="V11" s="50"/>
      <c r="W11" s="50"/>
      <c r="X11" s="50"/>
      <c r="Y11" s="50"/>
      <c r="Z11" s="50"/>
    </row>
    <row r="12" spans="1:26" ht="15.75" customHeight="1" x14ac:dyDescent="0.35">
      <c r="A12" s="50"/>
      <c r="B12" s="293" t="s">
        <v>324</v>
      </c>
      <c r="C12" s="229" t="s">
        <v>325</v>
      </c>
      <c r="D12" s="294">
        <f>8.49-4.32</f>
        <v>4.17</v>
      </c>
      <c r="E12" s="586" t="s">
        <v>326</v>
      </c>
      <c r="F12" s="587"/>
      <c r="G12" s="587"/>
      <c r="H12" s="587"/>
      <c r="I12" s="587"/>
      <c r="J12" s="587"/>
      <c r="K12" s="588"/>
      <c r="L12" s="50"/>
      <c r="M12" s="50"/>
      <c r="N12" s="50"/>
      <c r="O12" s="50"/>
      <c r="P12" s="50"/>
      <c r="Q12" s="50"/>
      <c r="R12" s="50"/>
      <c r="S12" s="50"/>
      <c r="T12" s="50"/>
      <c r="U12" s="50"/>
      <c r="V12" s="50"/>
      <c r="W12" s="50"/>
      <c r="X12" s="50"/>
      <c r="Y12" s="50"/>
      <c r="Z12" s="50"/>
    </row>
    <row r="13" spans="1:26" ht="15.75" customHeight="1" x14ac:dyDescent="0.35">
      <c r="A13" s="50"/>
      <c r="B13" s="293" t="s">
        <v>342</v>
      </c>
      <c r="C13" s="229" t="s">
        <v>325</v>
      </c>
      <c r="D13" s="294">
        <f>3.75-2.01</f>
        <v>1.7400000000000002</v>
      </c>
      <c r="E13" s="589"/>
      <c r="F13" s="536"/>
      <c r="G13" s="536"/>
      <c r="H13" s="536"/>
      <c r="I13" s="536"/>
      <c r="J13" s="536"/>
      <c r="K13" s="571"/>
      <c r="L13" s="50"/>
      <c r="M13" s="50"/>
      <c r="N13" s="50"/>
      <c r="O13" s="50"/>
      <c r="P13" s="50"/>
      <c r="Q13" s="50"/>
      <c r="R13" s="50"/>
      <c r="S13" s="50"/>
      <c r="T13" s="50"/>
      <c r="U13" s="50"/>
      <c r="V13" s="50"/>
      <c r="W13" s="50"/>
      <c r="X13" s="50"/>
      <c r="Y13" s="50"/>
      <c r="Z13" s="50"/>
    </row>
    <row r="14" spans="1:26" ht="15.75" customHeight="1" x14ac:dyDescent="0.35">
      <c r="A14" s="50"/>
      <c r="B14" s="293" t="s">
        <v>343</v>
      </c>
      <c r="C14" s="229" t="s">
        <v>325</v>
      </c>
      <c r="D14" s="294">
        <f>1.51-1.01</f>
        <v>0.5</v>
      </c>
      <c r="E14" s="589"/>
      <c r="F14" s="536"/>
      <c r="G14" s="536"/>
      <c r="H14" s="536"/>
      <c r="I14" s="536"/>
      <c r="J14" s="536"/>
      <c r="K14" s="571"/>
      <c r="L14" s="50"/>
      <c r="M14" s="50"/>
      <c r="N14" s="50"/>
      <c r="O14" s="50"/>
      <c r="P14" s="50"/>
      <c r="Q14" s="50"/>
      <c r="R14" s="50"/>
      <c r="S14" s="50"/>
      <c r="T14" s="50"/>
      <c r="U14" s="50"/>
      <c r="V14" s="50"/>
      <c r="W14" s="50"/>
      <c r="X14" s="50"/>
      <c r="Y14" s="50"/>
      <c r="Z14" s="50"/>
    </row>
    <row r="15" spans="1:26" ht="15.75" customHeight="1" x14ac:dyDescent="0.35">
      <c r="A15" s="50"/>
      <c r="B15" s="293" t="s">
        <v>344</v>
      </c>
      <c r="C15" s="229" t="s">
        <v>325</v>
      </c>
      <c r="D15" s="294">
        <f>5.34-4.11</f>
        <v>1.2299999999999995</v>
      </c>
      <c r="E15" s="589"/>
      <c r="F15" s="536"/>
      <c r="G15" s="536"/>
      <c r="H15" s="536"/>
      <c r="I15" s="536"/>
      <c r="J15" s="536"/>
      <c r="K15" s="571"/>
      <c r="L15" s="50"/>
      <c r="M15" s="50"/>
      <c r="N15" s="50"/>
      <c r="O15" s="50"/>
      <c r="P15" s="50"/>
      <c r="Q15" s="50"/>
      <c r="R15" s="50"/>
      <c r="S15" s="50"/>
      <c r="T15" s="50"/>
      <c r="U15" s="50"/>
      <c r="V15" s="50"/>
      <c r="W15" s="50"/>
      <c r="X15" s="50"/>
      <c r="Y15" s="50"/>
      <c r="Z15" s="50"/>
    </row>
    <row r="16" spans="1:26" ht="15.75" customHeight="1" x14ac:dyDescent="0.35">
      <c r="A16" s="50"/>
      <c r="B16" s="293" t="s">
        <v>330</v>
      </c>
      <c r="C16" s="229" t="s">
        <v>325</v>
      </c>
      <c r="D16" s="294">
        <f>0.15-0.07</f>
        <v>7.9999999999999988E-2</v>
      </c>
      <c r="E16" s="590"/>
      <c r="F16" s="591"/>
      <c r="G16" s="591"/>
      <c r="H16" s="591"/>
      <c r="I16" s="591"/>
      <c r="J16" s="591"/>
      <c r="K16" s="592"/>
      <c r="L16" s="50"/>
      <c r="M16" s="50"/>
      <c r="N16" s="50"/>
      <c r="O16" s="50"/>
      <c r="P16" s="50"/>
      <c r="Q16" s="50"/>
      <c r="R16" s="50"/>
      <c r="S16" s="50"/>
      <c r="T16" s="50"/>
      <c r="U16" s="50"/>
      <c r="V16" s="50"/>
      <c r="W16" s="50"/>
      <c r="X16" s="50"/>
      <c r="Y16" s="50"/>
      <c r="Z16" s="50"/>
    </row>
    <row r="17" spans="1:26" ht="15.75" customHeight="1" x14ac:dyDescent="0.35">
      <c r="A17" s="50"/>
      <c r="B17" s="89" t="s">
        <v>323</v>
      </c>
      <c r="C17" s="229" t="s">
        <v>325</v>
      </c>
      <c r="D17" s="295">
        <f>AVERAGE(D12:D16)</f>
        <v>1.544</v>
      </c>
      <c r="E17" s="91" t="s">
        <v>117</v>
      </c>
      <c r="F17" s="91"/>
      <c r="G17" s="91"/>
      <c r="H17" s="91"/>
      <c r="I17" s="91"/>
      <c r="J17" s="91"/>
      <c r="K17" s="92"/>
      <c r="L17" s="50"/>
      <c r="M17" s="50"/>
      <c r="N17" s="50"/>
      <c r="O17" s="50"/>
      <c r="P17" s="50"/>
      <c r="Q17" s="50"/>
      <c r="R17" s="50"/>
      <c r="S17" s="50"/>
      <c r="T17" s="50"/>
      <c r="U17" s="50"/>
      <c r="V17" s="50"/>
      <c r="W17" s="50"/>
      <c r="X17" s="50"/>
      <c r="Y17" s="50"/>
      <c r="Z17" s="50"/>
    </row>
    <row r="18" spans="1:26" ht="15.75" customHeight="1" x14ac:dyDescent="0.35">
      <c r="A18" s="50"/>
      <c r="B18" s="104" t="s">
        <v>331</v>
      </c>
      <c r="C18" s="88"/>
      <c r="D18" s="297"/>
      <c r="E18" s="91"/>
      <c r="F18" s="91"/>
      <c r="G18" s="91"/>
      <c r="H18" s="91"/>
      <c r="I18" s="91"/>
      <c r="J18" s="91"/>
      <c r="K18" s="92"/>
      <c r="L18" s="50"/>
      <c r="M18" s="50"/>
      <c r="N18" s="50"/>
      <c r="O18" s="50"/>
      <c r="P18" s="50"/>
      <c r="Q18" s="50"/>
      <c r="R18" s="50"/>
      <c r="S18" s="50"/>
      <c r="T18" s="50"/>
      <c r="U18" s="50"/>
      <c r="V18" s="50"/>
      <c r="W18" s="50"/>
      <c r="X18" s="50"/>
      <c r="Y18" s="50"/>
      <c r="Z18" s="50"/>
    </row>
    <row r="19" spans="1:26" ht="15.75" customHeight="1" x14ac:dyDescent="0.35">
      <c r="A19" s="50"/>
      <c r="B19" s="89">
        <v>2020</v>
      </c>
      <c r="C19" s="88" t="s">
        <v>332</v>
      </c>
      <c r="D19" s="306">
        <v>48</v>
      </c>
      <c r="E19" s="228" t="s">
        <v>345</v>
      </c>
      <c r="F19" s="91"/>
      <c r="G19" s="91"/>
      <c r="H19" s="91"/>
      <c r="I19" s="91"/>
      <c r="J19" s="91"/>
      <c r="K19" s="92"/>
      <c r="L19" s="50"/>
      <c r="M19" s="50"/>
      <c r="N19" s="50"/>
      <c r="O19" s="50"/>
      <c r="P19" s="50"/>
      <c r="Q19" s="50"/>
      <c r="R19" s="50"/>
      <c r="S19" s="50"/>
      <c r="T19" s="50"/>
      <c r="U19" s="50"/>
      <c r="V19" s="50"/>
      <c r="W19" s="50"/>
      <c r="X19" s="50"/>
      <c r="Y19" s="50"/>
      <c r="Z19" s="50"/>
    </row>
    <row r="20" spans="1:26" ht="15.75" customHeight="1" x14ac:dyDescent="0.35">
      <c r="A20" s="50"/>
      <c r="B20" s="89">
        <v>2021</v>
      </c>
      <c r="C20" s="88" t="s">
        <v>332</v>
      </c>
      <c r="D20" s="306">
        <v>48</v>
      </c>
      <c r="E20" s="91" t="s">
        <v>334</v>
      </c>
      <c r="F20" s="91"/>
      <c r="G20" s="91"/>
      <c r="H20" s="91"/>
      <c r="I20" s="91"/>
      <c r="J20" s="91"/>
      <c r="K20" s="92"/>
      <c r="L20" s="50"/>
      <c r="M20" s="50"/>
      <c r="N20" s="50"/>
      <c r="O20" s="50"/>
      <c r="P20" s="50"/>
      <c r="Q20" s="50"/>
      <c r="R20" s="50"/>
      <c r="S20" s="50"/>
      <c r="T20" s="50"/>
      <c r="U20" s="50"/>
      <c r="V20" s="50"/>
      <c r="W20" s="50"/>
      <c r="X20" s="50"/>
      <c r="Y20" s="50"/>
      <c r="Z20" s="50"/>
    </row>
    <row r="21" spans="1:26" ht="15.75" customHeight="1" x14ac:dyDescent="0.35">
      <c r="A21" s="50"/>
      <c r="B21" s="89">
        <v>2022</v>
      </c>
      <c r="C21" s="88" t="s">
        <v>332</v>
      </c>
      <c r="D21" s="306">
        <v>48</v>
      </c>
      <c r="E21" s="594" t="s">
        <v>335</v>
      </c>
      <c r="F21" s="587"/>
      <c r="G21" s="587"/>
      <c r="H21" s="587"/>
      <c r="I21" s="587"/>
      <c r="J21" s="587"/>
      <c r="K21" s="588"/>
      <c r="L21" s="50"/>
      <c r="M21" s="50"/>
      <c r="N21" s="50"/>
      <c r="O21" s="50"/>
      <c r="P21" s="50"/>
      <c r="Q21" s="50"/>
      <c r="R21" s="50"/>
      <c r="S21" s="50"/>
      <c r="T21" s="50"/>
      <c r="U21" s="50"/>
      <c r="V21" s="50"/>
      <c r="W21" s="50"/>
      <c r="X21" s="50"/>
      <c r="Y21" s="50"/>
      <c r="Z21" s="50"/>
    </row>
    <row r="22" spans="1:26" ht="15.75" customHeight="1" x14ac:dyDescent="0.35">
      <c r="A22" s="50"/>
      <c r="B22" s="89">
        <v>2023</v>
      </c>
      <c r="C22" s="88" t="s">
        <v>332</v>
      </c>
      <c r="D22" s="306">
        <v>48</v>
      </c>
      <c r="E22" s="589"/>
      <c r="F22" s="536"/>
      <c r="G22" s="536"/>
      <c r="H22" s="536"/>
      <c r="I22" s="536"/>
      <c r="J22" s="536"/>
      <c r="K22" s="571"/>
      <c r="L22" s="50"/>
      <c r="M22" s="50"/>
      <c r="N22" s="50"/>
      <c r="O22" s="50"/>
      <c r="P22" s="50"/>
      <c r="Q22" s="50"/>
      <c r="R22" s="50"/>
      <c r="S22" s="50"/>
      <c r="T22" s="50"/>
      <c r="U22" s="50"/>
      <c r="V22" s="50"/>
      <c r="W22" s="50"/>
      <c r="X22" s="50"/>
      <c r="Y22" s="50"/>
      <c r="Z22" s="50"/>
    </row>
    <row r="23" spans="1:26" ht="15.75" customHeight="1" x14ac:dyDescent="0.35">
      <c r="A23" s="50"/>
      <c r="B23" s="89">
        <v>2024</v>
      </c>
      <c r="C23" s="88" t="s">
        <v>332</v>
      </c>
      <c r="D23" s="306">
        <v>48</v>
      </c>
      <c r="E23" s="590"/>
      <c r="F23" s="591"/>
      <c r="G23" s="591"/>
      <c r="H23" s="591"/>
      <c r="I23" s="591"/>
      <c r="J23" s="591"/>
      <c r="K23" s="592"/>
      <c r="L23" s="50"/>
      <c r="M23" s="50"/>
      <c r="N23" s="50"/>
      <c r="O23" s="50"/>
      <c r="P23" s="50"/>
      <c r="Q23" s="50"/>
      <c r="R23" s="50"/>
      <c r="S23" s="50"/>
      <c r="T23" s="50"/>
      <c r="U23" s="50"/>
      <c r="V23" s="50"/>
      <c r="W23" s="50"/>
      <c r="X23" s="50"/>
      <c r="Y23" s="50"/>
      <c r="Z23" s="50"/>
    </row>
    <row r="24" spans="1:26" ht="15.75" customHeight="1" x14ac:dyDescent="0.35">
      <c r="A24" s="50"/>
      <c r="B24" s="89">
        <v>2025</v>
      </c>
      <c r="C24" s="88" t="s">
        <v>332</v>
      </c>
      <c r="D24" s="306">
        <v>48</v>
      </c>
      <c r="E24" s="91"/>
      <c r="F24" s="91"/>
      <c r="G24" s="91"/>
      <c r="H24" s="91"/>
      <c r="I24" s="91"/>
      <c r="J24" s="91"/>
      <c r="K24" s="92"/>
      <c r="L24" s="50"/>
      <c r="M24" s="50"/>
      <c r="N24" s="50"/>
      <c r="O24" s="50"/>
      <c r="P24" s="50"/>
      <c r="Q24" s="50"/>
      <c r="R24" s="50"/>
      <c r="S24" s="50"/>
      <c r="T24" s="50"/>
      <c r="U24" s="50"/>
      <c r="V24" s="50"/>
      <c r="W24" s="50"/>
      <c r="X24" s="50"/>
      <c r="Y24" s="50"/>
      <c r="Z24" s="50"/>
    </row>
    <row r="25" spans="1:26" ht="15.75" customHeight="1" x14ac:dyDescent="0.35">
      <c r="A25" s="50"/>
      <c r="B25" s="89">
        <v>2026</v>
      </c>
      <c r="C25" s="88" t="s">
        <v>332</v>
      </c>
      <c r="D25" s="306">
        <v>48</v>
      </c>
      <c r="E25" s="91"/>
      <c r="F25" s="91"/>
      <c r="G25" s="91"/>
      <c r="H25" s="91"/>
      <c r="I25" s="91"/>
      <c r="J25" s="91"/>
      <c r="K25" s="92"/>
      <c r="L25" s="50"/>
      <c r="M25" s="50"/>
      <c r="N25" s="50"/>
      <c r="O25" s="50"/>
      <c r="P25" s="50"/>
      <c r="Q25" s="50"/>
      <c r="R25" s="50"/>
      <c r="S25" s="50"/>
      <c r="T25" s="50"/>
      <c r="U25" s="50"/>
      <c r="V25" s="50"/>
      <c r="W25" s="50"/>
      <c r="X25" s="50"/>
      <c r="Y25" s="50"/>
      <c r="Z25" s="50"/>
    </row>
    <row r="26" spans="1:26" ht="15.75" customHeight="1" x14ac:dyDescent="0.35">
      <c r="A26" s="50"/>
      <c r="B26" s="89">
        <v>2027</v>
      </c>
      <c r="C26" s="88" t="s">
        <v>332</v>
      </c>
      <c r="D26" s="306">
        <v>217</v>
      </c>
      <c r="E26" s="91"/>
      <c r="F26" s="91"/>
      <c r="G26" s="91"/>
      <c r="H26" s="91"/>
      <c r="I26" s="91"/>
      <c r="J26" s="91"/>
      <c r="K26" s="92"/>
      <c r="L26" s="50"/>
      <c r="M26" s="50"/>
      <c r="N26" s="50"/>
      <c r="O26" s="50"/>
      <c r="P26" s="50"/>
      <c r="Q26" s="50"/>
      <c r="R26" s="50"/>
      <c r="S26" s="50"/>
      <c r="T26" s="50"/>
      <c r="U26" s="50"/>
      <c r="V26" s="50"/>
      <c r="W26" s="50"/>
      <c r="X26" s="50"/>
      <c r="Y26" s="50"/>
      <c r="Z26" s="50"/>
    </row>
    <row r="27" spans="1:26" ht="15.75" customHeight="1" x14ac:dyDescent="0.35">
      <c r="A27" s="50"/>
      <c r="B27" s="89">
        <v>2028</v>
      </c>
      <c r="C27" s="88" t="s">
        <v>332</v>
      </c>
      <c r="D27" s="306">
        <v>217</v>
      </c>
      <c r="E27" s="91"/>
      <c r="F27" s="91"/>
      <c r="G27" s="91"/>
      <c r="H27" s="91"/>
      <c r="I27" s="91"/>
      <c r="J27" s="91"/>
      <c r="K27" s="92"/>
      <c r="L27" s="50"/>
      <c r="M27" s="50"/>
      <c r="N27" s="50"/>
      <c r="O27" s="50"/>
      <c r="P27" s="50"/>
      <c r="Q27" s="50"/>
      <c r="R27" s="50"/>
      <c r="S27" s="50"/>
      <c r="T27" s="50"/>
      <c r="U27" s="50"/>
      <c r="V27" s="50"/>
      <c r="W27" s="50"/>
      <c r="X27" s="50"/>
      <c r="Y27" s="50"/>
      <c r="Z27" s="50"/>
    </row>
    <row r="28" spans="1:26" ht="15.75" customHeight="1" x14ac:dyDescent="0.35">
      <c r="A28" s="50"/>
      <c r="B28" s="89">
        <v>2029</v>
      </c>
      <c r="C28" s="88" t="s">
        <v>332</v>
      </c>
      <c r="D28" s="306">
        <v>200</v>
      </c>
      <c r="E28" s="91"/>
      <c r="F28" s="91"/>
      <c r="G28" s="91"/>
      <c r="H28" s="91"/>
      <c r="I28" s="91"/>
      <c r="J28" s="91"/>
      <c r="K28" s="92"/>
      <c r="L28" s="50"/>
      <c r="M28" s="50"/>
      <c r="N28" s="50"/>
      <c r="O28" s="50"/>
      <c r="P28" s="50"/>
      <c r="Q28" s="50"/>
      <c r="R28" s="50"/>
      <c r="S28" s="50"/>
      <c r="T28" s="50"/>
      <c r="U28" s="50"/>
      <c r="V28" s="50"/>
      <c r="W28" s="50"/>
      <c r="X28" s="50"/>
      <c r="Y28" s="50"/>
      <c r="Z28" s="50"/>
    </row>
    <row r="29" spans="1:26" ht="15.75" customHeight="1" x14ac:dyDescent="0.35">
      <c r="A29" s="50"/>
      <c r="B29" s="89">
        <v>2030</v>
      </c>
      <c r="C29" s="88" t="s">
        <v>332</v>
      </c>
      <c r="D29" s="306">
        <v>193</v>
      </c>
      <c r="E29" s="91"/>
      <c r="F29" s="91"/>
      <c r="G29" s="91"/>
      <c r="H29" s="91"/>
      <c r="I29" s="91"/>
      <c r="J29" s="91"/>
      <c r="K29" s="92"/>
      <c r="L29" s="50"/>
      <c r="M29" s="50"/>
      <c r="N29" s="50"/>
      <c r="O29" s="50"/>
      <c r="P29" s="50"/>
      <c r="Q29" s="50"/>
      <c r="R29" s="50"/>
      <c r="S29" s="50"/>
      <c r="T29" s="50"/>
      <c r="U29" s="50"/>
      <c r="V29" s="50"/>
      <c r="W29" s="50"/>
      <c r="X29" s="50"/>
      <c r="Y29" s="50"/>
      <c r="Z29" s="50"/>
    </row>
    <row r="30" spans="1:26" ht="15.75" customHeight="1" x14ac:dyDescent="0.35">
      <c r="A30" s="50"/>
      <c r="B30" s="89">
        <v>2031</v>
      </c>
      <c r="C30" s="88" t="s">
        <v>332</v>
      </c>
      <c r="D30" s="306">
        <v>175</v>
      </c>
      <c r="E30" s="91"/>
      <c r="F30" s="91"/>
      <c r="G30" s="91"/>
      <c r="H30" s="91"/>
      <c r="I30" s="91"/>
      <c r="J30" s="91"/>
      <c r="K30" s="92"/>
      <c r="L30" s="50"/>
      <c r="M30" s="50"/>
      <c r="N30" s="50"/>
      <c r="O30" s="50"/>
      <c r="P30" s="50"/>
      <c r="Q30" s="50"/>
      <c r="R30" s="50"/>
      <c r="S30" s="50"/>
      <c r="T30" s="50"/>
      <c r="U30" s="50"/>
      <c r="V30" s="50"/>
      <c r="W30" s="50"/>
      <c r="X30" s="50"/>
      <c r="Y30" s="50"/>
      <c r="Z30" s="50"/>
    </row>
    <row r="31" spans="1:26" ht="15.75" customHeight="1" x14ac:dyDescent="0.35">
      <c r="A31" s="50"/>
      <c r="B31" s="233" t="s">
        <v>127</v>
      </c>
      <c r="C31" s="107" t="s">
        <v>109</v>
      </c>
      <c r="D31" s="235">
        <f>'1.Red. Purch. Cost Patient Care'!D68</f>
        <v>0.05</v>
      </c>
      <c r="E31" s="109"/>
      <c r="F31" s="109"/>
      <c r="G31" s="109"/>
      <c r="H31" s="109"/>
      <c r="I31" s="109"/>
      <c r="J31" s="109"/>
      <c r="K31" s="158"/>
      <c r="L31" s="50"/>
      <c r="M31" s="50"/>
      <c r="N31" s="50"/>
      <c r="O31" s="50"/>
      <c r="P31" s="50"/>
      <c r="Q31" s="50"/>
      <c r="R31" s="50"/>
      <c r="S31" s="50"/>
      <c r="T31" s="50"/>
      <c r="U31" s="50"/>
      <c r="V31" s="50"/>
      <c r="W31" s="50"/>
      <c r="X31" s="50"/>
      <c r="Y31" s="50"/>
      <c r="Z31" s="50"/>
    </row>
    <row r="32" spans="1:26" ht="15.75" customHeight="1" x14ac:dyDescent="0.35">
      <c r="A32" s="50"/>
      <c r="B32" s="50"/>
      <c r="C32" s="63"/>
      <c r="D32" s="50"/>
      <c r="E32" s="50"/>
      <c r="F32" s="50"/>
      <c r="G32" s="50"/>
      <c r="H32" s="50"/>
      <c r="I32" s="50"/>
      <c r="J32" s="50"/>
      <c r="K32" s="50"/>
      <c r="L32" s="50"/>
      <c r="M32" s="50"/>
      <c r="N32" s="50"/>
      <c r="O32" s="50"/>
      <c r="P32" s="50"/>
      <c r="Q32" s="50"/>
      <c r="R32" s="50"/>
      <c r="S32" s="50"/>
      <c r="T32" s="50"/>
      <c r="U32" s="50"/>
      <c r="V32" s="50"/>
      <c r="W32" s="50"/>
      <c r="X32" s="50"/>
      <c r="Y32" s="50"/>
      <c r="Z32" s="50"/>
    </row>
    <row r="33" spans="1:26" ht="15.75" customHeight="1" x14ac:dyDescent="0.35">
      <c r="A33" s="50"/>
      <c r="B33" s="35" t="s">
        <v>55</v>
      </c>
      <c r="C33" s="36"/>
      <c r="D33" s="565" t="s">
        <v>129</v>
      </c>
      <c r="E33" s="552"/>
      <c r="F33" s="553"/>
      <c r="G33" s="112" t="s">
        <v>130</v>
      </c>
      <c r="H33" s="38"/>
      <c r="I33" s="38"/>
      <c r="J33" s="38"/>
      <c r="K33" s="38"/>
      <c r="L33" s="38"/>
      <c r="M33" s="38"/>
      <c r="N33" s="38"/>
      <c r="O33" s="38"/>
      <c r="P33" s="39"/>
      <c r="Q33" s="50"/>
      <c r="R33" s="50"/>
      <c r="S33" s="50"/>
      <c r="T33" s="50"/>
      <c r="U33" s="50"/>
      <c r="V33" s="50"/>
      <c r="W33" s="50"/>
      <c r="X33" s="50"/>
      <c r="Y33" s="50"/>
      <c r="Z33" s="50"/>
    </row>
    <row r="34" spans="1:26" ht="15.75" customHeight="1" x14ac:dyDescent="0.35">
      <c r="A34" s="50"/>
      <c r="B34" s="40"/>
      <c r="C34" s="41"/>
      <c r="D34" s="42">
        <v>1</v>
      </c>
      <c r="E34" s="43">
        <f>+D34+1</f>
        <v>2</v>
      </c>
      <c r="F34" s="43">
        <f t="shared" ref="F34:P34" si="0">E34+1</f>
        <v>3</v>
      </c>
      <c r="G34" s="43">
        <f t="shared" si="0"/>
        <v>4</v>
      </c>
      <c r="H34" s="43">
        <f t="shared" si="0"/>
        <v>5</v>
      </c>
      <c r="I34" s="43">
        <f t="shared" si="0"/>
        <v>6</v>
      </c>
      <c r="J34" s="43">
        <f t="shared" si="0"/>
        <v>7</v>
      </c>
      <c r="K34" s="43">
        <f t="shared" si="0"/>
        <v>8</v>
      </c>
      <c r="L34" s="43">
        <f t="shared" si="0"/>
        <v>9</v>
      </c>
      <c r="M34" s="43">
        <f t="shared" si="0"/>
        <v>10</v>
      </c>
      <c r="N34" s="43">
        <f t="shared" si="0"/>
        <v>11</v>
      </c>
      <c r="O34" s="43">
        <f t="shared" si="0"/>
        <v>12</v>
      </c>
      <c r="P34" s="114">
        <f t="shared" si="0"/>
        <v>13</v>
      </c>
      <c r="Q34" s="50"/>
      <c r="R34" s="50"/>
      <c r="S34" s="50"/>
      <c r="T34" s="50"/>
      <c r="U34" s="50"/>
      <c r="V34" s="50"/>
      <c r="W34" s="50"/>
      <c r="X34" s="50"/>
      <c r="Y34" s="50"/>
      <c r="Z34" s="50"/>
    </row>
    <row r="35" spans="1:26" ht="15.75" customHeight="1" x14ac:dyDescent="0.35">
      <c r="A35" s="50"/>
      <c r="B35" s="46" t="s">
        <v>336</v>
      </c>
      <c r="C35" s="47"/>
      <c r="D35" s="48"/>
      <c r="E35" s="48"/>
      <c r="F35" s="48"/>
      <c r="G35" s="49"/>
      <c r="H35" s="49"/>
      <c r="I35" s="49"/>
      <c r="J35" s="49"/>
      <c r="K35" s="49"/>
      <c r="L35" s="49"/>
      <c r="M35" s="49"/>
      <c r="N35" s="50"/>
      <c r="O35" s="50"/>
      <c r="P35" s="115"/>
      <c r="Q35" s="50"/>
      <c r="R35" s="50"/>
      <c r="S35" s="50"/>
      <c r="T35" s="50"/>
      <c r="U35" s="50"/>
      <c r="V35" s="50"/>
      <c r="W35" s="50"/>
      <c r="X35" s="50"/>
      <c r="Y35" s="50"/>
      <c r="Z35" s="50"/>
    </row>
    <row r="36" spans="1:26" ht="15.75" customHeight="1" x14ac:dyDescent="0.35">
      <c r="A36" s="50"/>
      <c r="B36" s="53" t="s">
        <v>145</v>
      </c>
      <c r="C36" s="47" t="s">
        <v>94</v>
      </c>
      <c r="D36" s="49">
        <f>'1.Red. Purch. Cost Surgical'!D88+'Red. Purch. Cost Surgical-New'!D71</f>
        <v>2000</v>
      </c>
      <c r="E36" s="49">
        <f>'1.Red. Purch. Cost Surgical'!E88+'Red. Purch. Cost Surgical-New'!E71</f>
        <v>2010</v>
      </c>
      <c r="F36" s="49">
        <f>'1.Red. Purch. Cost Surgical'!F88+'Red. Purch. Cost Surgical-New'!F71</f>
        <v>2020.1</v>
      </c>
      <c r="G36" s="49">
        <f>'1.Red. Purch. Cost Surgical'!G88+'Red. Purch. Cost Surgical-New'!G71</f>
        <v>2040.3009999999999</v>
      </c>
      <c r="H36" s="49">
        <f>'1.Red. Purch. Cost Surgical'!H88+'Red. Purch. Cost Surgical-New'!H71</f>
        <v>2060.7040099999999</v>
      </c>
      <c r="I36" s="49">
        <f>'1.Red. Purch. Cost Surgical'!I88+'Red. Purch. Cost Surgical-New'!I71</f>
        <v>2081.3110501000001</v>
      </c>
      <c r="J36" s="49">
        <f>'1.Red. Purch. Cost Surgical'!J88+'Red. Purch. Cost Surgical-New'!J71</f>
        <v>2102.1241606009999</v>
      </c>
      <c r="K36" s="49">
        <f>'1.Red. Purch. Cost Surgical'!K88+'Red. Purch. Cost Surgical-New'!K71</f>
        <v>2123.1454022070097</v>
      </c>
      <c r="L36" s="49">
        <f>'1.Red. Purch. Cost Surgical'!L88+'Red. Purch. Cost Surgical-New'!L71</f>
        <v>2144.3768562290797</v>
      </c>
      <c r="M36" s="49">
        <f>'1.Red. Purch. Cost Surgical'!M88+'Red. Purch. Cost Surgical-New'!M71</f>
        <v>2165.8206247913704</v>
      </c>
      <c r="N36" s="49">
        <f>'1.Red. Purch. Cost Surgical'!N88+'Red. Purch. Cost Surgical-New'!N71</f>
        <v>2187.4788310392842</v>
      </c>
      <c r="O36" s="49">
        <f>'1.Red. Purch. Cost Surgical'!O88+'Red. Purch. Cost Surgical-New'!O71</f>
        <v>2209.3536193496775</v>
      </c>
      <c r="P36" s="49">
        <f>'1.Red. Purch. Cost Surgical'!P88+'Red. Purch. Cost Surgical-New'!P71</f>
        <v>2231.4471555431742</v>
      </c>
      <c r="Q36" s="32"/>
      <c r="R36" s="32"/>
      <c r="S36" s="50"/>
      <c r="T36" s="50"/>
      <c r="U36" s="50"/>
      <c r="V36" s="50"/>
      <c r="W36" s="50"/>
      <c r="X36" s="50"/>
      <c r="Y36" s="50"/>
      <c r="Z36" s="50"/>
    </row>
    <row r="37" spans="1:26" ht="15.75" customHeight="1" x14ac:dyDescent="0.35">
      <c r="A37" s="50"/>
      <c r="B37" s="53" t="s">
        <v>146</v>
      </c>
      <c r="C37" s="47" t="s">
        <v>94</v>
      </c>
      <c r="D37" s="49">
        <f>'1.Red. Purch. Cost Surgical'!D89+'Red. Purch. Cost Surgical-New'!D72</f>
        <v>2000</v>
      </c>
      <c r="E37" s="49">
        <f>'1.Red. Purch. Cost Surgical'!E89+'Red. Purch. Cost Surgical-New'!E72</f>
        <v>2010</v>
      </c>
      <c r="F37" s="49">
        <f>'1.Red. Purch. Cost Surgical'!F89+'Red. Purch. Cost Surgical-New'!F72</f>
        <v>2020.1</v>
      </c>
      <c r="G37" s="49">
        <f>'1.Red. Purch. Cost Surgical'!G89+'Red. Purch. Cost Surgical-New'!G72</f>
        <v>2040.3009999999999</v>
      </c>
      <c r="H37" s="49">
        <f>'1.Red. Purch. Cost Surgical'!H89+'Red. Purch. Cost Surgical-New'!H72</f>
        <v>2060.7040099999999</v>
      </c>
      <c r="I37" s="49">
        <f>'1.Red. Purch. Cost Surgical'!I89+'Red. Purch. Cost Surgical-New'!I72</f>
        <v>2081.3110501000001</v>
      </c>
      <c r="J37" s="49">
        <f>'1.Red. Purch. Cost Surgical'!J89+'Red. Purch. Cost Surgical-New'!J72</f>
        <v>2102.1241606009999</v>
      </c>
      <c r="K37" s="49">
        <f>'1.Red. Purch. Cost Surgical'!K89+'Red. Purch. Cost Surgical-New'!K72</f>
        <v>2123.1454022070097</v>
      </c>
      <c r="L37" s="49">
        <f>'1.Red. Purch. Cost Surgical'!L89+'Red. Purch. Cost Surgical-New'!L72</f>
        <v>2144.3768562290797</v>
      </c>
      <c r="M37" s="49">
        <f>'1.Red. Purch. Cost Surgical'!M89+'Red. Purch. Cost Surgical-New'!M72</f>
        <v>2165.8206247913704</v>
      </c>
      <c r="N37" s="49">
        <f>'1.Red. Purch. Cost Surgical'!N89+'Red. Purch. Cost Surgical-New'!N72</f>
        <v>2187.4788310392842</v>
      </c>
      <c r="O37" s="49">
        <f>'1.Red. Purch. Cost Surgical'!O89+'Red. Purch. Cost Surgical-New'!O72</f>
        <v>2209.3536193496775</v>
      </c>
      <c r="P37" s="49">
        <f>'1.Red. Purch. Cost Surgical'!P89+'Red. Purch. Cost Surgical-New'!P72</f>
        <v>2231.4471555431742</v>
      </c>
      <c r="Q37" s="32"/>
      <c r="R37" s="32"/>
      <c r="S37" s="50"/>
      <c r="T37" s="50"/>
      <c r="U37" s="50"/>
      <c r="V37" s="50"/>
      <c r="W37" s="50"/>
      <c r="X37" s="50"/>
      <c r="Y37" s="50"/>
      <c r="Z37" s="50"/>
    </row>
    <row r="38" spans="1:26" ht="15.75" customHeight="1" x14ac:dyDescent="0.35">
      <c r="A38" s="50"/>
      <c r="B38" s="53" t="s">
        <v>147</v>
      </c>
      <c r="C38" s="47" t="s">
        <v>94</v>
      </c>
      <c r="D38" s="49">
        <f>'1.Red. Purch. Cost Surgical'!D90+'Red. Purch. Cost Surgical-New'!D73</f>
        <v>2000</v>
      </c>
      <c r="E38" s="49">
        <f>'1.Red. Purch. Cost Surgical'!E90+'Red. Purch. Cost Surgical-New'!E73</f>
        <v>2010</v>
      </c>
      <c r="F38" s="49">
        <f>'1.Red. Purch. Cost Surgical'!F90+'Red. Purch. Cost Surgical-New'!F73</f>
        <v>2020.1</v>
      </c>
      <c r="G38" s="49">
        <f>'1.Red. Purch. Cost Surgical'!G90+'Red. Purch. Cost Surgical-New'!G73</f>
        <v>2040.3009999999999</v>
      </c>
      <c r="H38" s="49">
        <f>'1.Red. Purch. Cost Surgical'!H90+'Red. Purch. Cost Surgical-New'!H73</f>
        <v>2060.7040099999999</v>
      </c>
      <c r="I38" s="49">
        <f>'1.Red. Purch. Cost Surgical'!I90+'Red. Purch. Cost Surgical-New'!I73</f>
        <v>2081.3110501000001</v>
      </c>
      <c r="J38" s="49">
        <f>'1.Red. Purch. Cost Surgical'!J90+'Red. Purch. Cost Surgical-New'!J73</f>
        <v>2102.1241606009999</v>
      </c>
      <c r="K38" s="49">
        <f>'1.Red. Purch. Cost Surgical'!K90+'Red. Purch. Cost Surgical-New'!K73</f>
        <v>2123.1454022070097</v>
      </c>
      <c r="L38" s="49">
        <f>'1.Red. Purch. Cost Surgical'!L90+'Red. Purch. Cost Surgical-New'!L73</f>
        <v>2144.3768562290797</v>
      </c>
      <c r="M38" s="49">
        <f>'1.Red. Purch. Cost Surgical'!M90+'Red. Purch. Cost Surgical-New'!M73</f>
        <v>2165.8206247913704</v>
      </c>
      <c r="N38" s="49">
        <f>'1.Red. Purch. Cost Surgical'!N90+'Red. Purch. Cost Surgical-New'!N73</f>
        <v>2187.4788310392842</v>
      </c>
      <c r="O38" s="49">
        <f>'1.Red. Purch. Cost Surgical'!O90+'Red. Purch. Cost Surgical-New'!O73</f>
        <v>2209.3536193496775</v>
      </c>
      <c r="P38" s="49">
        <f>'1.Red. Purch. Cost Surgical'!P90+'Red. Purch. Cost Surgical-New'!P73</f>
        <v>2231.4471555431742</v>
      </c>
      <c r="Q38" s="32"/>
      <c r="R38" s="32"/>
      <c r="S38" s="50"/>
      <c r="T38" s="50"/>
      <c r="U38" s="50"/>
      <c r="V38" s="50"/>
      <c r="W38" s="50"/>
      <c r="X38" s="50"/>
      <c r="Y38" s="50"/>
      <c r="Z38" s="50"/>
    </row>
    <row r="39" spans="1:26" ht="15.75" customHeight="1" x14ac:dyDescent="0.35">
      <c r="A39" s="50"/>
      <c r="B39" s="53" t="s">
        <v>148</v>
      </c>
      <c r="C39" s="47" t="s">
        <v>94</v>
      </c>
      <c r="D39" s="49">
        <f>'1.Red. Purch. Cost Surgical'!D91+'Red. Purch. Cost Surgical-New'!D74</f>
        <v>2000</v>
      </c>
      <c r="E39" s="49">
        <f>'1.Red. Purch. Cost Surgical'!E91+'Red. Purch. Cost Surgical-New'!E74</f>
        <v>2010</v>
      </c>
      <c r="F39" s="49">
        <f>'1.Red. Purch. Cost Surgical'!F91+'Red. Purch. Cost Surgical-New'!F74</f>
        <v>2020.1</v>
      </c>
      <c r="G39" s="49">
        <f>'1.Red. Purch. Cost Surgical'!G91+'Red. Purch. Cost Surgical-New'!G74</f>
        <v>2040.3009999999999</v>
      </c>
      <c r="H39" s="49">
        <f>'1.Red. Purch. Cost Surgical'!H91+'Red. Purch. Cost Surgical-New'!H74</f>
        <v>2060.7040099999999</v>
      </c>
      <c r="I39" s="49">
        <f>'1.Red. Purch. Cost Surgical'!I91+'Red. Purch. Cost Surgical-New'!I74</f>
        <v>2081.3110501000001</v>
      </c>
      <c r="J39" s="49">
        <f>'1.Red. Purch. Cost Surgical'!J91+'Red. Purch. Cost Surgical-New'!J74</f>
        <v>2102.1241606009999</v>
      </c>
      <c r="K39" s="49">
        <f>'1.Red. Purch. Cost Surgical'!K91+'Red. Purch. Cost Surgical-New'!K74</f>
        <v>2123.1454022070097</v>
      </c>
      <c r="L39" s="49">
        <f>'1.Red. Purch. Cost Surgical'!L91+'Red. Purch. Cost Surgical-New'!L74</f>
        <v>2144.3768562290797</v>
      </c>
      <c r="M39" s="49">
        <f>'1.Red. Purch. Cost Surgical'!M91+'Red. Purch. Cost Surgical-New'!M74</f>
        <v>2165.8206247913704</v>
      </c>
      <c r="N39" s="49">
        <f>'1.Red. Purch. Cost Surgical'!N91+'Red. Purch. Cost Surgical-New'!N74</f>
        <v>2187.4788310392842</v>
      </c>
      <c r="O39" s="49">
        <f>'1.Red. Purch. Cost Surgical'!O91+'Red. Purch. Cost Surgical-New'!O74</f>
        <v>2209.3536193496775</v>
      </c>
      <c r="P39" s="49">
        <f>'1.Red. Purch. Cost Surgical'!P91+'Red. Purch. Cost Surgical-New'!P74</f>
        <v>2231.4471555431742</v>
      </c>
      <c r="Q39" s="32"/>
      <c r="R39" s="32"/>
      <c r="S39" s="50"/>
      <c r="T39" s="50"/>
      <c r="U39" s="50"/>
      <c r="V39" s="50"/>
      <c r="W39" s="50"/>
      <c r="X39" s="50"/>
      <c r="Y39" s="50"/>
      <c r="Z39" s="50"/>
    </row>
    <row r="40" spans="1:26" ht="15.75" customHeight="1" x14ac:dyDescent="0.35">
      <c r="A40" s="50"/>
      <c r="B40" s="53" t="s">
        <v>149</v>
      </c>
      <c r="C40" s="47" t="s">
        <v>94</v>
      </c>
      <c r="D40" s="49">
        <f>'1.Red. Purch. Cost Surgical'!D92+'Red. Purch. Cost Surgical-New'!D75</f>
        <v>2000</v>
      </c>
      <c r="E40" s="49">
        <f>'1.Red. Purch. Cost Surgical'!E92+'Red. Purch. Cost Surgical-New'!E75</f>
        <v>2010</v>
      </c>
      <c r="F40" s="49">
        <f>'1.Red. Purch. Cost Surgical'!F92+'Red. Purch. Cost Surgical-New'!F75</f>
        <v>2020.1</v>
      </c>
      <c r="G40" s="49">
        <f>'1.Red. Purch. Cost Surgical'!G92+'Red. Purch. Cost Surgical-New'!G75</f>
        <v>2040.3009999999999</v>
      </c>
      <c r="H40" s="49">
        <f>'1.Red. Purch. Cost Surgical'!H92+'Red. Purch. Cost Surgical-New'!H75</f>
        <v>2060.7040099999999</v>
      </c>
      <c r="I40" s="49">
        <f>'1.Red. Purch. Cost Surgical'!I92+'Red. Purch. Cost Surgical-New'!I75</f>
        <v>2081.3110501000001</v>
      </c>
      <c r="J40" s="49">
        <f>'1.Red. Purch. Cost Surgical'!J92+'Red. Purch. Cost Surgical-New'!J75</f>
        <v>2102.1241606009999</v>
      </c>
      <c r="K40" s="49">
        <f>'1.Red. Purch. Cost Surgical'!K92+'Red. Purch. Cost Surgical-New'!K75</f>
        <v>2123.1454022070097</v>
      </c>
      <c r="L40" s="49">
        <f>'1.Red. Purch. Cost Surgical'!L92+'Red. Purch. Cost Surgical-New'!L75</f>
        <v>2144.3768562290797</v>
      </c>
      <c r="M40" s="49">
        <f>'1.Red. Purch. Cost Surgical'!M92+'Red. Purch. Cost Surgical-New'!M75</f>
        <v>2165.8206247913704</v>
      </c>
      <c r="N40" s="49">
        <f>'1.Red. Purch. Cost Surgical'!N92+'Red. Purch. Cost Surgical-New'!N75</f>
        <v>2187.4788310392842</v>
      </c>
      <c r="O40" s="49">
        <f>'1.Red. Purch. Cost Surgical'!O92+'Red. Purch. Cost Surgical-New'!O75</f>
        <v>2209.3536193496775</v>
      </c>
      <c r="P40" s="49">
        <f>'1.Red. Purch. Cost Surgical'!P92+'Red. Purch. Cost Surgical-New'!P75</f>
        <v>2231.4471555431742</v>
      </c>
      <c r="Q40" s="32"/>
      <c r="R40" s="32"/>
      <c r="S40" s="50"/>
      <c r="T40" s="50"/>
      <c r="U40" s="50"/>
      <c r="V40" s="50"/>
      <c r="W40" s="50"/>
      <c r="X40" s="50"/>
      <c r="Y40" s="50"/>
      <c r="Z40" s="50"/>
    </row>
    <row r="41" spans="1:26" ht="15.75" customHeight="1" x14ac:dyDescent="0.35">
      <c r="A41" s="50"/>
      <c r="B41" s="53" t="s">
        <v>198</v>
      </c>
      <c r="C41" s="47" t="s">
        <v>94</v>
      </c>
      <c r="D41" s="49">
        <f>'1.Red. Purch. Cost Surgical'!D93+'Red. Purch. Cost Surgical-New'!D76</f>
        <v>2000</v>
      </c>
      <c r="E41" s="49">
        <f>'1.Red. Purch. Cost Surgical'!E93+'Red. Purch. Cost Surgical-New'!E76</f>
        <v>2010</v>
      </c>
      <c r="F41" s="49">
        <f>'1.Red. Purch. Cost Surgical'!F93+'Red. Purch. Cost Surgical-New'!F76</f>
        <v>2020.1</v>
      </c>
      <c r="G41" s="49">
        <f>'1.Red. Purch. Cost Surgical'!G93+'Red. Purch. Cost Surgical-New'!G76</f>
        <v>2040.3009999999999</v>
      </c>
      <c r="H41" s="49">
        <f>'1.Red. Purch. Cost Surgical'!H93+'Red. Purch. Cost Surgical-New'!H76</f>
        <v>2060.7040099999999</v>
      </c>
      <c r="I41" s="49">
        <f>'1.Red. Purch. Cost Surgical'!I93+'Red. Purch. Cost Surgical-New'!I76</f>
        <v>2081.3110501000001</v>
      </c>
      <c r="J41" s="49">
        <f>'1.Red. Purch. Cost Surgical'!J93+'Red. Purch. Cost Surgical-New'!J76</f>
        <v>2102.1241606009999</v>
      </c>
      <c r="K41" s="49">
        <f>'1.Red. Purch. Cost Surgical'!K93+'Red. Purch. Cost Surgical-New'!K76</f>
        <v>2123.1454022070097</v>
      </c>
      <c r="L41" s="49">
        <f>'1.Red. Purch. Cost Surgical'!L93+'Red. Purch. Cost Surgical-New'!L76</f>
        <v>2144.3768562290797</v>
      </c>
      <c r="M41" s="49">
        <f>'1.Red. Purch. Cost Surgical'!M93+'Red. Purch. Cost Surgical-New'!M76</f>
        <v>2165.8206247913704</v>
      </c>
      <c r="N41" s="49">
        <f>'1.Red. Purch. Cost Surgical'!N93+'Red. Purch. Cost Surgical-New'!N76</f>
        <v>2187.4788310392842</v>
      </c>
      <c r="O41" s="49">
        <f>'1.Red. Purch. Cost Surgical'!O93+'Red. Purch. Cost Surgical-New'!O76</f>
        <v>2209.3536193496775</v>
      </c>
      <c r="P41" s="49">
        <f>'1.Red. Purch. Cost Surgical'!P93+'Red. Purch. Cost Surgical-New'!P76</f>
        <v>2231.4471555431742</v>
      </c>
      <c r="Q41" s="32"/>
      <c r="R41" s="32"/>
      <c r="S41" s="50"/>
      <c r="T41" s="50"/>
      <c r="U41" s="50"/>
      <c r="V41" s="50"/>
      <c r="W41" s="50"/>
      <c r="X41" s="50"/>
      <c r="Y41" s="50"/>
      <c r="Z41" s="50"/>
    </row>
    <row r="42" spans="1:26" ht="15.75" customHeight="1" x14ac:dyDescent="0.35">
      <c r="A42" s="50"/>
      <c r="B42" s="53" t="s">
        <v>199</v>
      </c>
      <c r="C42" s="47" t="s">
        <v>94</v>
      </c>
      <c r="D42" s="49">
        <f>'1.Red. Purch. Cost Surgical'!D94+'Red. Purch. Cost Surgical-New'!D77</f>
        <v>2000</v>
      </c>
      <c r="E42" s="49">
        <f>'1.Red. Purch. Cost Surgical'!E94+'Red. Purch. Cost Surgical-New'!E77</f>
        <v>2010</v>
      </c>
      <c r="F42" s="49">
        <f>'1.Red. Purch. Cost Surgical'!F94+'Red. Purch. Cost Surgical-New'!F77</f>
        <v>2020.1</v>
      </c>
      <c r="G42" s="49">
        <f>'1.Red. Purch. Cost Surgical'!G94+'Red. Purch. Cost Surgical-New'!G77</f>
        <v>2040.3009999999999</v>
      </c>
      <c r="H42" s="49">
        <f>'1.Red. Purch. Cost Surgical'!H94+'Red. Purch. Cost Surgical-New'!H77</f>
        <v>2060.7040099999999</v>
      </c>
      <c r="I42" s="49">
        <f>'1.Red. Purch. Cost Surgical'!I94+'Red. Purch. Cost Surgical-New'!I77</f>
        <v>2081.3110501000001</v>
      </c>
      <c r="J42" s="49">
        <f>'1.Red. Purch. Cost Surgical'!J94+'Red. Purch. Cost Surgical-New'!J77</f>
        <v>2102.1241606009999</v>
      </c>
      <c r="K42" s="49">
        <f>'1.Red. Purch. Cost Surgical'!K94+'Red. Purch. Cost Surgical-New'!K77</f>
        <v>2123.1454022070097</v>
      </c>
      <c r="L42" s="49">
        <f>'1.Red. Purch. Cost Surgical'!L94+'Red. Purch. Cost Surgical-New'!L77</f>
        <v>2144.3768562290797</v>
      </c>
      <c r="M42" s="49">
        <f>'1.Red. Purch. Cost Surgical'!M94+'Red. Purch. Cost Surgical-New'!M77</f>
        <v>2165.8206247913704</v>
      </c>
      <c r="N42" s="49">
        <f>'1.Red. Purch. Cost Surgical'!N94+'Red. Purch. Cost Surgical-New'!N77</f>
        <v>2187.4788310392842</v>
      </c>
      <c r="O42" s="49">
        <f>'1.Red. Purch. Cost Surgical'!O94+'Red. Purch. Cost Surgical-New'!O77</f>
        <v>2209.3536193496775</v>
      </c>
      <c r="P42" s="49">
        <f>'1.Red. Purch. Cost Surgical'!P94+'Red. Purch. Cost Surgical-New'!P77</f>
        <v>2231.4471555431742</v>
      </c>
      <c r="Q42" s="32"/>
      <c r="R42" s="32"/>
      <c r="S42" s="50"/>
      <c r="T42" s="50"/>
      <c r="U42" s="50"/>
      <c r="V42" s="50"/>
      <c r="W42" s="50"/>
      <c r="X42" s="50"/>
      <c r="Y42" s="50"/>
      <c r="Z42" s="50"/>
    </row>
    <row r="43" spans="1:26" ht="15.75" customHeight="1" x14ac:dyDescent="0.35">
      <c r="A43" s="50"/>
      <c r="B43" s="53" t="s">
        <v>152</v>
      </c>
      <c r="C43" s="47" t="s">
        <v>94</v>
      </c>
      <c r="D43" s="49">
        <f>'1.Red. Purch. Cost Surgical'!D95+'Red. Purch. Cost Surgical-New'!D78</f>
        <v>2000</v>
      </c>
      <c r="E43" s="49">
        <f>'1.Red. Purch. Cost Surgical'!E95+'Red. Purch. Cost Surgical-New'!E78</f>
        <v>2010</v>
      </c>
      <c r="F43" s="49">
        <f>'1.Red. Purch. Cost Surgical'!F95+'Red. Purch. Cost Surgical-New'!F78</f>
        <v>2020.1</v>
      </c>
      <c r="G43" s="49">
        <f>'1.Red. Purch. Cost Surgical'!G95+'Red. Purch. Cost Surgical-New'!G78</f>
        <v>2040.3009999999999</v>
      </c>
      <c r="H43" s="49">
        <f>'1.Red. Purch. Cost Surgical'!H95+'Red. Purch. Cost Surgical-New'!H78</f>
        <v>2060.7040099999999</v>
      </c>
      <c r="I43" s="49">
        <f>'1.Red. Purch. Cost Surgical'!I95+'Red. Purch. Cost Surgical-New'!I78</f>
        <v>2081.3110501000001</v>
      </c>
      <c r="J43" s="49">
        <f>'1.Red. Purch. Cost Surgical'!J95+'Red. Purch. Cost Surgical-New'!J78</f>
        <v>2102.1241606009999</v>
      </c>
      <c r="K43" s="49">
        <f>'1.Red. Purch. Cost Surgical'!K95+'Red. Purch. Cost Surgical-New'!K78</f>
        <v>2123.1454022070097</v>
      </c>
      <c r="L43" s="49">
        <f>'1.Red. Purch. Cost Surgical'!L95+'Red. Purch. Cost Surgical-New'!L78</f>
        <v>2144.3768562290797</v>
      </c>
      <c r="M43" s="49">
        <f>'1.Red. Purch. Cost Surgical'!M95+'Red. Purch. Cost Surgical-New'!M78</f>
        <v>2165.8206247913704</v>
      </c>
      <c r="N43" s="49">
        <f>'1.Red. Purch. Cost Surgical'!N95+'Red. Purch. Cost Surgical-New'!N78</f>
        <v>2187.4788310392842</v>
      </c>
      <c r="O43" s="49">
        <f>'1.Red. Purch. Cost Surgical'!O95+'Red. Purch. Cost Surgical-New'!O78</f>
        <v>2209.3536193496775</v>
      </c>
      <c r="P43" s="49">
        <f>'1.Red. Purch. Cost Surgical'!P95+'Red. Purch. Cost Surgical-New'!P78</f>
        <v>2231.4471555431742</v>
      </c>
      <c r="Q43" s="32"/>
      <c r="R43" s="32"/>
      <c r="S43" s="50"/>
      <c r="T43" s="50"/>
      <c r="U43" s="50"/>
      <c r="V43" s="50"/>
      <c r="W43" s="50"/>
      <c r="X43" s="50"/>
      <c r="Y43" s="50"/>
      <c r="Z43" s="50"/>
    </row>
    <row r="44" spans="1:26" ht="15.75" customHeight="1" x14ac:dyDescent="0.35">
      <c r="A44" s="50"/>
      <c r="B44" s="53" t="s">
        <v>153</v>
      </c>
      <c r="C44" s="47" t="s">
        <v>94</v>
      </c>
      <c r="D44" s="49">
        <f>'1.Red. Purch. Cost Surgical'!D96+'Red. Purch. Cost Surgical-New'!D79</f>
        <v>2000</v>
      </c>
      <c r="E44" s="49">
        <f>'1.Red. Purch. Cost Surgical'!E96+'Red. Purch. Cost Surgical-New'!E79</f>
        <v>2010</v>
      </c>
      <c r="F44" s="49">
        <f>'1.Red. Purch. Cost Surgical'!F96+'Red. Purch. Cost Surgical-New'!F79</f>
        <v>2020.1</v>
      </c>
      <c r="G44" s="49">
        <f>'1.Red. Purch. Cost Surgical'!G96+'Red. Purch. Cost Surgical-New'!G79</f>
        <v>2040.3009999999999</v>
      </c>
      <c r="H44" s="49">
        <f>'1.Red. Purch. Cost Surgical'!H96+'Red. Purch. Cost Surgical-New'!H79</f>
        <v>2060.7040099999999</v>
      </c>
      <c r="I44" s="49">
        <f>'1.Red. Purch. Cost Surgical'!I96+'Red. Purch. Cost Surgical-New'!I79</f>
        <v>2081.3110501000001</v>
      </c>
      <c r="J44" s="49">
        <f>'1.Red. Purch. Cost Surgical'!J96+'Red. Purch. Cost Surgical-New'!J79</f>
        <v>2102.1241606009999</v>
      </c>
      <c r="K44" s="49">
        <f>'1.Red. Purch. Cost Surgical'!K96+'Red. Purch. Cost Surgical-New'!K79</f>
        <v>2123.1454022070097</v>
      </c>
      <c r="L44" s="49">
        <f>'1.Red. Purch. Cost Surgical'!L96+'Red. Purch. Cost Surgical-New'!L79</f>
        <v>2144.3768562290797</v>
      </c>
      <c r="M44" s="49">
        <f>'1.Red. Purch. Cost Surgical'!M96+'Red. Purch. Cost Surgical-New'!M79</f>
        <v>2165.8206247913704</v>
      </c>
      <c r="N44" s="49">
        <f>'1.Red. Purch. Cost Surgical'!N96+'Red. Purch. Cost Surgical-New'!N79</f>
        <v>2187.4788310392842</v>
      </c>
      <c r="O44" s="49">
        <f>'1.Red. Purch. Cost Surgical'!O96+'Red. Purch. Cost Surgical-New'!O79</f>
        <v>2209.3536193496775</v>
      </c>
      <c r="P44" s="49">
        <f>'1.Red. Purch. Cost Surgical'!P96+'Red. Purch. Cost Surgical-New'!P79</f>
        <v>2231.4471555431742</v>
      </c>
      <c r="Q44" s="32"/>
      <c r="R44" s="32"/>
      <c r="S44" s="50"/>
      <c r="T44" s="50"/>
      <c r="U44" s="50"/>
      <c r="V44" s="50"/>
      <c r="W44" s="50"/>
      <c r="X44" s="50"/>
      <c r="Y44" s="50"/>
      <c r="Z44" s="50"/>
    </row>
    <row r="45" spans="1:26" ht="15.75" customHeight="1" x14ac:dyDescent="0.35">
      <c r="A45" s="50"/>
      <c r="B45" s="53" t="s">
        <v>154</v>
      </c>
      <c r="C45" s="47" t="s">
        <v>94</v>
      </c>
      <c r="D45" s="49">
        <f>'1.Red. Purch. Cost Surgical'!D97+'Red. Purch. Cost Surgical-New'!D80</f>
        <v>2000</v>
      </c>
      <c r="E45" s="49">
        <f>'1.Red. Purch. Cost Surgical'!E97+'Red. Purch. Cost Surgical-New'!E80</f>
        <v>2010</v>
      </c>
      <c r="F45" s="49">
        <f>'1.Red. Purch. Cost Surgical'!F97+'Red. Purch. Cost Surgical-New'!F80</f>
        <v>2020.1</v>
      </c>
      <c r="G45" s="49">
        <f>'1.Red. Purch. Cost Surgical'!G97+'Red. Purch. Cost Surgical-New'!G80</f>
        <v>2040.3009999999999</v>
      </c>
      <c r="H45" s="49">
        <f>'1.Red. Purch. Cost Surgical'!H97+'Red. Purch. Cost Surgical-New'!H80</f>
        <v>2060.7040099999999</v>
      </c>
      <c r="I45" s="49">
        <f>'1.Red. Purch. Cost Surgical'!I97+'Red. Purch. Cost Surgical-New'!I80</f>
        <v>2081.3110501000001</v>
      </c>
      <c r="J45" s="49">
        <f>'1.Red. Purch. Cost Surgical'!J97+'Red. Purch. Cost Surgical-New'!J80</f>
        <v>2102.1241606009999</v>
      </c>
      <c r="K45" s="49">
        <f>'1.Red. Purch. Cost Surgical'!K97+'Red. Purch. Cost Surgical-New'!K80</f>
        <v>2123.1454022070097</v>
      </c>
      <c r="L45" s="49">
        <f>'1.Red. Purch. Cost Surgical'!L97+'Red. Purch. Cost Surgical-New'!L80</f>
        <v>2144.3768562290797</v>
      </c>
      <c r="M45" s="49">
        <f>'1.Red. Purch. Cost Surgical'!M97+'Red. Purch. Cost Surgical-New'!M80</f>
        <v>2165.8206247913704</v>
      </c>
      <c r="N45" s="49">
        <f>'1.Red. Purch. Cost Surgical'!N97+'Red. Purch. Cost Surgical-New'!N80</f>
        <v>2187.4788310392842</v>
      </c>
      <c r="O45" s="49">
        <f>'1.Red. Purch. Cost Surgical'!O97+'Red. Purch. Cost Surgical-New'!O80</f>
        <v>2209.3536193496775</v>
      </c>
      <c r="P45" s="49">
        <f>'1.Red. Purch. Cost Surgical'!P97+'Red. Purch. Cost Surgical-New'!P80</f>
        <v>2231.4471555431742</v>
      </c>
      <c r="Q45" s="32"/>
      <c r="R45" s="32"/>
      <c r="S45" s="50"/>
      <c r="T45" s="50"/>
      <c r="U45" s="50"/>
      <c r="V45" s="50"/>
      <c r="W45" s="50"/>
      <c r="X45" s="50"/>
      <c r="Y45" s="50"/>
      <c r="Z45" s="50"/>
    </row>
    <row r="46" spans="1:26" ht="15.75" customHeight="1" x14ac:dyDescent="0.35">
      <c r="A46" s="50"/>
      <c r="B46" s="53" t="s">
        <v>155</v>
      </c>
      <c r="C46" s="47" t="s">
        <v>94</v>
      </c>
      <c r="D46" s="49">
        <f>'1.Red. Purch. Cost Surgical'!D98+'Red. Purch. Cost Surgical-New'!D81</f>
        <v>2000</v>
      </c>
      <c r="E46" s="49">
        <f>'1.Red. Purch. Cost Surgical'!E98+'Red. Purch. Cost Surgical-New'!E81</f>
        <v>2010</v>
      </c>
      <c r="F46" s="49">
        <f>'1.Red. Purch. Cost Surgical'!F98+'Red. Purch. Cost Surgical-New'!F81</f>
        <v>2020.1</v>
      </c>
      <c r="G46" s="49">
        <f>'1.Red. Purch. Cost Surgical'!G98+'Red. Purch. Cost Surgical-New'!G81</f>
        <v>2040.3009999999999</v>
      </c>
      <c r="H46" s="49">
        <f>'1.Red. Purch. Cost Surgical'!H98+'Red. Purch. Cost Surgical-New'!H81</f>
        <v>2060.7040099999999</v>
      </c>
      <c r="I46" s="49">
        <f>'1.Red. Purch. Cost Surgical'!I98+'Red. Purch. Cost Surgical-New'!I81</f>
        <v>2081.3110501000001</v>
      </c>
      <c r="J46" s="49">
        <f>'1.Red. Purch. Cost Surgical'!J98+'Red. Purch. Cost Surgical-New'!J81</f>
        <v>2102.1241606009999</v>
      </c>
      <c r="K46" s="49">
        <f>'1.Red. Purch. Cost Surgical'!K98+'Red. Purch. Cost Surgical-New'!K81</f>
        <v>2123.1454022070097</v>
      </c>
      <c r="L46" s="49">
        <f>'1.Red. Purch. Cost Surgical'!L98+'Red. Purch. Cost Surgical-New'!L81</f>
        <v>2144.3768562290797</v>
      </c>
      <c r="M46" s="49">
        <f>'1.Red. Purch. Cost Surgical'!M98+'Red. Purch. Cost Surgical-New'!M81</f>
        <v>2165.8206247913704</v>
      </c>
      <c r="N46" s="49">
        <f>'1.Red. Purch. Cost Surgical'!N98+'Red. Purch. Cost Surgical-New'!N81</f>
        <v>2187.4788310392842</v>
      </c>
      <c r="O46" s="49">
        <f>'1.Red. Purch. Cost Surgical'!O98+'Red. Purch. Cost Surgical-New'!O81</f>
        <v>2209.3536193496775</v>
      </c>
      <c r="P46" s="49">
        <f>'1.Red. Purch. Cost Surgical'!P98+'Red. Purch. Cost Surgical-New'!P81</f>
        <v>2231.4471555431742</v>
      </c>
      <c r="Q46" s="32"/>
      <c r="R46" s="32"/>
      <c r="S46" s="50"/>
      <c r="T46" s="50"/>
      <c r="U46" s="50"/>
      <c r="V46" s="50"/>
      <c r="W46" s="50"/>
      <c r="X46" s="50"/>
      <c r="Y46" s="50"/>
      <c r="Z46" s="50"/>
    </row>
    <row r="47" spans="1:26" ht="15.75" customHeight="1" x14ac:dyDescent="0.35">
      <c r="A47" s="50"/>
      <c r="B47" s="53" t="s">
        <v>156</v>
      </c>
      <c r="C47" s="47" t="s">
        <v>94</v>
      </c>
      <c r="D47" s="49">
        <f>'1.Red. Purch. Cost Surgical'!D99+'Red. Purch. Cost Surgical-New'!D82</f>
        <v>2000</v>
      </c>
      <c r="E47" s="49">
        <f>'1.Red. Purch. Cost Surgical'!E99+'Red. Purch. Cost Surgical-New'!E82</f>
        <v>2010</v>
      </c>
      <c r="F47" s="49">
        <f>'1.Red. Purch. Cost Surgical'!F99+'Red. Purch. Cost Surgical-New'!F82</f>
        <v>2020.1</v>
      </c>
      <c r="G47" s="49">
        <f>'1.Red. Purch. Cost Surgical'!G99+'Red. Purch. Cost Surgical-New'!G82</f>
        <v>2040.3009999999999</v>
      </c>
      <c r="H47" s="49">
        <f>'1.Red. Purch. Cost Surgical'!H99+'Red. Purch. Cost Surgical-New'!H82</f>
        <v>2060.7040099999999</v>
      </c>
      <c r="I47" s="49">
        <f>'1.Red. Purch. Cost Surgical'!I99+'Red. Purch. Cost Surgical-New'!I82</f>
        <v>2081.3110501000001</v>
      </c>
      <c r="J47" s="49">
        <f>'1.Red. Purch. Cost Surgical'!J99+'Red. Purch. Cost Surgical-New'!J82</f>
        <v>2102.1241606009999</v>
      </c>
      <c r="K47" s="49">
        <f>'1.Red. Purch. Cost Surgical'!K99+'Red. Purch. Cost Surgical-New'!K82</f>
        <v>2123.1454022070097</v>
      </c>
      <c r="L47" s="49">
        <f>'1.Red. Purch. Cost Surgical'!L99+'Red. Purch. Cost Surgical-New'!L82</f>
        <v>2144.3768562290797</v>
      </c>
      <c r="M47" s="49">
        <f>'1.Red. Purch. Cost Surgical'!M99+'Red. Purch. Cost Surgical-New'!M82</f>
        <v>2165.8206247913704</v>
      </c>
      <c r="N47" s="49">
        <f>'1.Red. Purch. Cost Surgical'!N99+'Red. Purch. Cost Surgical-New'!N82</f>
        <v>2187.4788310392842</v>
      </c>
      <c r="O47" s="49">
        <f>'1.Red. Purch. Cost Surgical'!O99+'Red. Purch. Cost Surgical-New'!O82</f>
        <v>2209.3536193496775</v>
      </c>
      <c r="P47" s="49">
        <f>'1.Red. Purch. Cost Surgical'!P99+'Red. Purch. Cost Surgical-New'!P82</f>
        <v>2231.4471555431742</v>
      </c>
      <c r="Q47" s="32"/>
      <c r="R47" s="32"/>
      <c r="S47" s="50"/>
      <c r="T47" s="50"/>
      <c r="U47" s="50"/>
      <c r="V47" s="50"/>
      <c r="W47" s="50"/>
      <c r="X47" s="50"/>
      <c r="Y47" s="50"/>
      <c r="Z47" s="50"/>
    </row>
    <row r="48" spans="1:26" ht="15.75" customHeight="1" x14ac:dyDescent="0.35">
      <c r="A48" s="50"/>
      <c r="B48" s="161" t="s">
        <v>96</v>
      </c>
      <c r="C48" s="47" t="s">
        <v>94</v>
      </c>
      <c r="D48" s="49">
        <f>'1.Red. Purch. Cost Surgical'!D100+'Red. Purch. Cost Surgical-New'!D83</f>
        <v>2000</v>
      </c>
      <c r="E48" s="49">
        <f>'1.Red. Purch. Cost Surgical'!E100+'Red. Purch. Cost Surgical-New'!E83</f>
        <v>2010</v>
      </c>
      <c r="F48" s="49">
        <f>'1.Red. Purch. Cost Surgical'!F100+'Red. Purch. Cost Surgical-New'!F83</f>
        <v>2020.1</v>
      </c>
      <c r="G48" s="49">
        <f>'1.Red. Purch. Cost Surgical'!G100+'Red. Purch. Cost Surgical-New'!G83</f>
        <v>2040.3009999999999</v>
      </c>
      <c r="H48" s="49">
        <f>'1.Red. Purch. Cost Surgical'!H100+'Red. Purch. Cost Surgical-New'!H83</f>
        <v>2060.7040099999999</v>
      </c>
      <c r="I48" s="49">
        <f>'1.Red. Purch. Cost Surgical'!I100+'Red. Purch. Cost Surgical-New'!I83</f>
        <v>2081.3110501000001</v>
      </c>
      <c r="J48" s="49">
        <f>'1.Red. Purch. Cost Surgical'!J100+'Red. Purch. Cost Surgical-New'!J83</f>
        <v>2102.1241606009999</v>
      </c>
      <c r="K48" s="49">
        <f>'1.Red. Purch. Cost Surgical'!K100+'Red. Purch. Cost Surgical-New'!K83</f>
        <v>2123.1454022070097</v>
      </c>
      <c r="L48" s="49">
        <f>'1.Red. Purch. Cost Surgical'!L100+'Red. Purch. Cost Surgical-New'!L83</f>
        <v>2144.3768562290797</v>
      </c>
      <c r="M48" s="49">
        <f>'1.Red. Purch. Cost Surgical'!M100+'Red. Purch. Cost Surgical-New'!M83</f>
        <v>2165.8206247913704</v>
      </c>
      <c r="N48" s="49">
        <f>'1.Red. Purch. Cost Surgical'!N100+'Red. Purch. Cost Surgical-New'!N83</f>
        <v>2187.4788310392842</v>
      </c>
      <c r="O48" s="49">
        <f>'1.Red. Purch. Cost Surgical'!O100+'Red. Purch. Cost Surgical-New'!O83</f>
        <v>2209.3536193496775</v>
      </c>
      <c r="P48" s="49">
        <f>'1.Red. Purch. Cost Surgical'!P100+'Red. Purch. Cost Surgical-New'!P83</f>
        <v>2231.4471555431742</v>
      </c>
      <c r="Q48" s="32"/>
      <c r="R48" s="32"/>
      <c r="S48" s="50"/>
      <c r="T48" s="50"/>
      <c r="U48" s="50"/>
      <c r="V48" s="50"/>
      <c r="W48" s="50"/>
      <c r="X48" s="50"/>
      <c r="Y48" s="50"/>
      <c r="Z48" s="50"/>
    </row>
    <row r="49" spans="1:26" ht="15.75" customHeight="1" x14ac:dyDescent="0.35">
      <c r="A49" s="50"/>
      <c r="B49" s="53" t="s">
        <v>158</v>
      </c>
      <c r="C49" s="47" t="s">
        <v>94</v>
      </c>
      <c r="D49" s="49">
        <f>'1.Red. Purch. Cost Surgical'!D101+'Red. Purch. Cost Surgical-New'!D84</f>
        <v>2000</v>
      </c>
      <c r="E49" s="49">
        <f>'1.Red. Purch. Cost Surgical'!E101+'Red. Purch. Cost Surgical-New'!E84</f>
        <v>2010</v>
      </c>
      <c r="F49" s="49">
        <f>'1.Red. Purch. Cost Surgical'!F101+'Red. Purch. Cost Surgical-New'!F84</f>
        <v>2020.1</v>
      </c>
      <c r="G49" s="49">
        <f>'1.Red. Purch. Cost Surgical'!G101+'Red. Purch. Cost Surgical-New'!G84</f>
        <v>2040.3009999999999</v>
      </c>
      <c r="H49" s="49">
        <f>'1.Red. Purch. Cost Surgical'!H101+'Red. Purch. Cost Surgical-New'!H84</f>
        <v>2060.7040099999999</v>
      </c>
      <c r="I49" s="49">
        <f>'1.Red. Purch. Cost Surgical'!I101+'Red. Purch. Cost Surgical-New'!I84</f>
        <v>2081.3110501000001</v>
      </c>
      <c r="J49" s="49">
        <f>'1.Red. Purch. Cost Surgical'!J101+'Red. Purch. Cost Surgical-New'!J84</f>
        <v>2102.1241606009999</v>
      </c>
      <c r="K49" s="49">
        <f>'1.Red. Purch. Cost Surgical'!K101+'Red. Purch. Cost Surgical-New'!K84</f>
        <v>2123.1454022070097</v>
      </c>
      <c r="L49" s="49">
        <f>'1.Red. Purch. Cost Surgical'!L101+'Red. Purch. Cost Surgical-New'!L84</f>
        <v>2144.3768562290797</v>
      </c>
      <c r="M49" s="49">
        <f>'1.Red. Purch. Cost Surgical'!M101+'Red. Purch. Cost Surgical-New'!M84</f>
        <v>2165.8206247913704</v>
      </c>
      <c r="N49" s="49">
        <f>'1.Red. Purch. Cost Surgical'!N101+'Red. Purch. Cost Surgical-New'!N84</f>
        <v>2187.4788310392842</v>
      </c>
      <c r="O49" s="49">
        <f>'1.Red. Purch. Cost Surgical'!O101+'Red. Purch. Cost Surgical-New'!O84</f>
        <v>2209.3536193496775</v>
      </c>
      <c r="P49" s="49">
        <f>'1.Red. Purch. Cost Surgical'!P101+'Red. Purch. Cost Surgical-New'!P84</f>
        <v>2231.4471555431742</v>
      </c>
      <c r="Q49" s="32"/>
      <c r="R49" s="32"/>
      <c r="S49" s="50"/>
      <c r="T49" s="50"/>
      <c r="U49" s="50"/>
      <c r="V49" s="50"/>
      <c r="W49" s="50"/>
      <c r="X49" s="50"/>
      <c r="Y49" s="50"/>
      <c r="Z49" s="50"/>
    </row>
    <row r="50" spans="1:26" ht="15.75" customHeight="1" x14ac:dyDescent="0.35">
      <c r="A50" s="237"/>
      <c r="B50" s="238" t="s">
        <v>65</v>
      </c>
      <c r="C50" s="239"/>
      <c r="D50" s="240">
        <f t="shared" ref="D50:Q50" si="1">SUM(D36:D49)</f>
        <v>28000</v>
      </c>
      <c r="E50" s="240">
        <f t="shared" si="1"/>
        <v>28140</v>
      </c>
      <c r="F50" s="240">
        <f t="shared" si="1"/>
        <v>28281.399999999994</v>
      </c>
      <c r="G50" s="240">
        <f t="shared" si="1"/>
        <v>28564.213999999996</v>
      </c>
      <c r="H50" s="240">
        <f t="shared" si="1"/>
        <v>28849.856140000007</v>
      </c>
      <c r="I50" s="240">
        <f t="shared" si="1"/>
        <v>29138.354701400011</v>
      </c>
      <c r="J50" s="240">
        <f t="shared" si="1"/>
        <v>29429.738248414007</v>
      </c>
      <c r="K50" s="240">
        <f t="shared" si="1"/>
        <v>29724.035630898139</v>
      </c>
      <c r="L50" s="240">
        <f t="shared" si="1"/>
        <v>30021.275987207107</v>
      </c>
      <c r="M50" s="240">
        <f t="shared" si="1"/>
        <v>30321.488747079176</v>
      </c>
      <c r="N50" s="240">
        <f t="shared" si="1"/>
        <v>30624.703634549969</v>
      </c>
      <c r="O50" s="240">
        <f t="shared" si="1"/>
        <v>30930.950670895476</v>
      </c>
      <c r="P50" s="241">
        <f t="shared" si="1"/>
        <v>31240.260177604436</v>
      </c>
      <c r="Q50" s="240">
        <f t="shared" si="1"/>
        <v>0</v>
      </c>
      <c r="R50" s="237"/>
      <c r="S50" s="237"/>
      <c r="T50" s="237"/>
      <c r="U50" s="237"/>
      <c r="V50" s="237"/>
      <c r="W50" s="237"/>
      <c r="X50" s="237"/>
      <c r="Y50" s="237"/>
      <c r="Z50" s="237"/>
    </row>
    <row r="51" spans="1:26" ht="15.75" customHeight="1" x14ac:dyDescent="0.35">
      <c r="A51" s="50"/>
      <c r="B51" s="62" t="s">
        <v>346</v>
      </c>
      <c r="C51" s="63"/>
      <c r="D51" s="120"/>
      <c r="E51" s="50"/>
      <c r="F51" s="50"/>
      <c r="G51" s="50"/>
      <c r="H51" s="50"/>
      <c r="I51" s="50"/>
      <c r="J51" s="50"/>
      <c r="K51" s="50"/>
      <c r="L51" s="50"/>
      <c r="M51" s="50"/>
      <c r="N51" s="50"/>
      <c r="O51" s="50"/>
      <c r="P51" s="115"/>
      <c r="Q51" s="50"/>
      <c r="R51" s="50"/>
      <c r="S51" s="50"/>
      <c r="T51" s="50"/>
      <c r="U51" s="50"/>
      <c r="V51" s="50"/>
      <c r="W51" s="50"/>
      <c r="X51" s="50"/>
      <c r="Y51" s="50"/>
      <c r="Z51" s="50"/>
    </row>
    <row r="52" spans="1:26" ht="15.75" customHeight="1" x14ac:dyDescent="0.35">
      <c r="A52" s="50"/>
      <c r="B52" s="53" t="s">
        <v>145</v>
      </c>
      <c r="C52" s="63" t="s">
        <v>325</v>
      </c>
      <c r="D52" s="255">
        <f>D17</f>
        <v>1.544</v>
      </c>
      <c r="E52" s="255">
        <f t="shared" ref="E52:P52" si="2">D52</f>
        <v>1.544</v>
      </c>
      <c r="F52" s="255">
        <f t="shared" si="2"/>
        <v>1.544</v>
      </c>
      <c r="G52" s="255">
        <f t="shared" si="2"/>
        <v>1.544</v>
      </c>
      <c r="H52" s="255">
        <f t="shared" si="2"/>
        <v>1.544</v>
      </c>
      <c r="I52" s="255">
        <f t="shared" si="2"/>
        <v>1.544</v>
      </c>
      <c r="J52" s="255">
        <f t="shared" si="2"/>
        <v>1.544</v>
      </c>
      <c r="K52" s="255">
        <f t="shared" si="2"/>
        <v>1.544</v>
      </c>
      <c r="L52" s="255">
        <f t="shared" si="2"/>
        <v>1.544</v>
      </c>
      <c r="M52" s="255">
        <f t="shared" si="2"/>
        <v>1.544</v>
      </c>
      <c r="N52" s="255">
        <f t="shared" si="2"/>
        <v>1.544</v>
      </c>
      <c r="O52" s="255">
        <f t="shared" si="2"/>
        <v>1.544</v>
      </c>
      <c r="P52" s="256">
        <f t="shared" si="2"/>
        <v>1.544</v>
      </c>
      <c r="Q52" s="50"/>
      <c r="R52" s="50"/>
      <c r="S52" s="50"/>
      <c r="T52" s="50"/>
      <c r="U52" s="50"/>
      <c r="V52" s="50"/>
      <c r="W52" s="50"/>
      <c r="X52" s="50"/>
      <c r="Y52" s="50"/>
      <c r="Z52" s="50"/>
    </row>
    <row r="53" spans="1:26" ht="15.75" customHeight="1" x14ac:dyDescent="0.35">
      <c r="A53" s="50"/>
      <c r="B53" s="53" t="s">
        <v>146</v>
      </c>
      <c r="C53" s="63" t="s">
        <v>325</v>
      </c>
      <c r="D53" s="255">
        <f>D17</f>
        <v>1.544</v>
      </c>
      <c r="E53" s="255">
        <f t="shared" ref="E53:P53" si="3">D53</f>
        <v>1.544</v>
      </c>
      <c r="F53" s="255">
        <f t="shared" si="3"/>
        <v>1.544</v>
      </c>
      <c r="G53" s="255">
        <f t="shared" si="3"/>
        <v>1.544</v>
      </c>
      <c r="H53" s="255">
        <f t="shared" si="3"/>
        <v>1.544</v>
      </c>
      <c r="I53" s="255">
        <f t="shared" si="3"/>
        <v>1.544</v>
      </c>
      <c r="J53" s="255">
        <f t="shared" si="3"/>
        <v>1.544</v>
      </c>
      <c r="K53" s="255">
        <f t="shared" si="3"/>
        <v>1.544</v>
      </c>
      <c r="L53" s="255">
        <f t="shared" si="3"/>
        <v>1.544</v>
      </c>
      <c r="M53" s="255">
        <f t="shared" si="3"/>
        <v>1.544</v>
      </c>
      <c r="N53" s="255">
        <f t="shared" si="3"/>
        <v>1.544</v>
      </c>
      <c r="O53" s="255">
        <f t="shared" si="3"/>
        <v>1.544</v>
      </c>
      <c r="P53" s="256">
        <f t="shared" si="3"/>
        <v>1.544</v>
      </c>
      <c r="Q53" s="50"/>
      <c r="R53" s="50"/>
      <c r="S53" s="50"/>
      <c r="T53" s="50"/>
      <c r="U53" s="50"/>
      <c r="V53" s="50"/>
      <c r="W53" s="50"/>
      <c r="X53" s="50"/>
      <c r="Y53" s="50"/>
      <c r="Z53" s="50"/>
    </row>
    <row r="54" spans="1:26" ht="15.75" customHeight="1" x14ac:dyDescent="0.35">
      <c r="A54" s="50"/>
      <c r="B54" s="53" t="s">
        <v>147</v>
      </c>
      <c r="C54" s="63" t="s">
        <v>325</v>
      </c>
      <c r="D54" s="255">
        <f t="shared" ref="D54:D55" si="4">D14</f>
        <v>0.5</v>
      </c>
      <c r="E54" s="255">
        <f t="shared" ref="E54:P54" si="5">D54</f>
        <v>0.5</v>
      </c>
      <c r="F54" s="255">
        <f t="shared" si="5"/>
        <v>0.5</v>
      </c>
      <c r="G54" s="255">
        <f t="shared" si="5"/>
        <v>0.5</v>
      </c>
      <c r="H54" s="255">
        <f t="shared" si="5"/>
        <v>0.5</v>
      </c>
      <c r="I54" s="255">
        <f t="shared" si="5"/>
        <v>0.5</v>
      </c>
      <c r="J54" s="255">
        <f t="shared" si="5"/>
        <v>0.5</v>
      </c>
      <c r="K54" s="255">
        <f t="shared" si="5"/>
        <v>0.5</v>
      </c>
      <c r="L54" s="255">
        <f t="shared" si="5"/>
        <v>0.5</v>
      </c>
      <c r="M54" s="255">
        <f t="shared" si="5"/>
        <v>0.5</v>
      </c>
      <c r="N54" s="255">
        <f t="shared" si="5"/>
        <v>0.5</v>
      </c>
      <c r="O54" s="255">
        <f t="shared" si="5"/>
        <v>0.5</v>
      </c>
      <c r="P54" s="256">
        <f t="shared" si="5"/>
        <v>0.5</v>
      </c>
      <c r="Q54" s="50"/>
      <c r="R54" s="50"/>
      <c r="S54" s="50"/>
      <c r="T54" s="50"/>
      <c r="U54" s="50"/>
      <c r="V54" s="50"/>
      <c r="W54" s="50"/>
      <c r="X54" s="50"/>
      <c r="Y54" s="50"/>
      <c r="Z54" s="50"/>
    </row>
    <row r="55" spans="1:26" ht="15.75" customHeight="1" x14ac:dyDescent="0.35">
      <c r="A55" s="50"/>
      <c r="B55" s="53" t="s">
        <v>148</v>
      </c>
      <c r="C55" s="63" t="s">
        <v>325</v>
      </c>
      <c r="D55" s="255">
        <f t="shared" si="4"/>
        <v>1.2299999999999995</v>
      </c>
      <c r="E55" s="255">
        <f t="shared" ref="E55:P55" si="6">D55</f>
        <v>1.2299999999999995</v>
      </c>
      <c r="F55" s="255">
        <f t="shared" si="6"/>
        <v>1.2299999999999995</v>
      </c>
      <c r="G55" s="255">
        <f t="shared" si="6"/>
        <v>1.2299999999999995</v>
      </c>
      <c r="H55" s="255">
        <f t="shared" si="6"/>
        <v>1.2299999999999995</v>
      </c>
      <c r="I55" s="255">
        <f t="shared" si="6"/>
        <v>1.2299999999999995</v>
      </c>
      <c r="J55" s="255">
        <f t="shared" si="6"/>
        <v>1.2299999999999995</v>
      </c>
      <c r="K55" s="255">
        <f t="shared" si="6"/>
        <v>1.2299999999999995</v>
      </c>
      <c r="L55" s="255">
        <f t="shared" si="6"/>
        <v>1.2299999999999995</v>
      </c>
      <c r="M55" s="255">
        <f t="shared" si="6"/>
        <v>1.2299999999999995</v>
      </c>
      <c r="N55" s="255">
        <f t="shared" si="6"/>
        <v>1.2299999999999995</v>
      </c>
      <c r="O55" s="255">
        <f t="shared" si="6"/>
        <v>1.2299999999999995</v>
      </c>
      <c r="P55" s="256">
        <f t="shared" si="6"/>
        <v>1.2299999999999995</v>
      </c>
      <c r="Q55" s="50"/>
      <c r="R55" s="50"/>
      <c r="S55" s="50"/>
      <c r="T55" s="50"/>
      <c r="U55" s="50"/>
      <c r="V55" s="50"/>
      <c r="W55" s="50"/>
      <c r="X55" s="50"/>
      <c r="Y55" s="50"/>
      <c r="Z55" s="50"/>
    </row>
    <row r="56" spans="1:26" ht="15.75" customHeight="1" x14ac:dyDescent="0.35">
      <c r="A56" s="50"/>
      <c r="B56" s="53" t="s">
        <v>149</v>
      </c>
      <c r="C56" s="63" t="s">
        <v>325</v>
      </c>
      <c r="D56" s="255">
        <f>D13</f>
        <v>1.7400000000000002</v>
      </c>
      <c r="E56" s="255">
        <f t="shared" ref="E56:P56" si="7">D56</f>
        <v>1.7400000000000002</v>
      </c>
      <c r="F56" s="255">
        <f t="shared" si="7"/>
        <v>1.7400000000000002</v>
      </c>
      <c r="G56" s="255">
        <f t="shared" si="7"/>
        <v>1.7400000000000002</v>
      </c>
      <c r="H56" s="255">
        <f t="shared" si="7"/>
        <v>1.7400000000000002</v>
      </c>
      <c r="I56" s="255">
        <f t="shared" si="7"/>
        <v>1.7400000000000002</v>
      </c>
      <c r="J56" s="255">
        <f t="shared" si="7"/>
        <v>1.7400000000000002</v>
      </c>
      <c r="K56" s="255">
        <f t="shared" si="7"/>
        <v>1.7400000000000002</v>
      </c>
      <c r="L56" s="255">
        <f t="shared" si="7"/>
        <v>1.7400000000000002</v>
      </c>
      <c r="M56" s="255">
        <f t="shared" si="7"/>
        <v>1.7400000000000002</v>
      </c>
      <c r="N56" s="255">
        <f t="shared" si="7"/>
        <v>1.7400000000000002</v>
      </c>
      <c r="O56" s="255">
        <f t="shared" si="7"/>
        <v>1.7400000000000002</v>
      </c>
      <c r="P56" s="256">
        <f t="shared" si="7"/>
        <v>1.7400000000000002</v>
      </c>
      <c r="Q56" s="50"/>
      <c r="R56" s="50"/>
      <c r="S56" s="50"/>
      <c r="T56" s="50"/>
      <c r="U56" s="50"/>
      <c r="V56" s="50"/>
      <c r="W56" s="50"/>
      <c r="X56" s="50"/>
      <c r="Y56" s="50"/>
      <c r="Z56" s="50"/>
    </row>
    <row r="57" spans="1:26" ht="15.75" customHeight="1" x14ac:dyDescent="0.35">
      <c r="A57" s="50"/>
      <c r="B57" s="53" t="s">
        <v>198</v>
      </c>
      <c r="C57" s="63" t="s">
        <v>325</v>
      </c>
      <c r="D57" s="255">
        <f>D17</f>
        <v>1.544</v>
      </c>
      <c r="E57" s="255">
        <f t="shared" ref="E57:P57" si="8">D57</f>
        <v>1.544</v>
      </c>
      <c r="F57" s="255">
        <f t="shared" si="8"/>
        <v>1.544</v>
      </c>
      <c r="G57" s="255">
        <f t="shared" si="8"/>
        <v>1.544</v>
      </c>
      <c r="H57" s="255">
        <f t="shared" si="8"/>
        <v>1.544</v>
      </c>
      <c r="I57" s="255">
        <f t="shared" si="8"/>
        <v>1.544</v>
      </c>
      <c r="J57" s="255">
        <f t="shared" si="8"/>
        <v>1.544</v>
      </c>
      <c r="K57" s="255">
        <f t="shared" si="8"/>
        <v>1.544</v>
      </c>
      <c r="L57" s="255">
        <f t="shared" si="8"/>
        <v>1.544</v>
      </c>
      <c r="M57" s="255">
        <f t="shared" si="8"/>
        <v>1.544</v>
      </c>
      <c r="N57" s="255">
        <f t="shared" si="8"/>
        <v>1.544</v>
      </c>
      <c r="O57" s="255">
        <f t="shared" si="8"/>
        <v>1.544</v>
      </c>
      <c r="P57" s="256">
        <f t="shared" si="8"/>
        <v>1.544</v>
      </c>
      <c r="Q57" s="50"/>
      <c r="R57" s="50"/>
      <c r="S57" s="50"/>
      <c r="T57" s="50"/>
      <c r="U57" s="50"/>
      <c r="V57" s="50"/>
      <c r="W57" s="50"/>
      <c r="X57" s="50"/>
      <c r="Y57" s="50"/>
      <c r="Z57" s="50"/>
    </row>
    <row r="58" spans="1:26" ht="15.75" customHeight="1" x14ac:dyDescent="0.35">
      <c r="A58" s="50"/>
      <c r="B58" s="53" t="s">
        <v>199</v>
      </c>
      <c r="C58" s="63" t="s">
        <v>325</v>
      </c>
      <c r="D58" s="255">
        <f>D17</f>
        <v>1.544</v>
      </c>
      <c r="E58" s="255">
        <f t="shared" ref="E58:P58" si="9">D58</f>
        <v>1.544</v>
      </c>
      <c r="F58" s="255">
        <f t="shared" si="9"/>
        <v>1.544</v>
      </c>
      <c r="G58" s="255">
        <f t="shared" si="9"/>
        <v>1.544</v>
      </c>
      <c r="H58" s="255">
        <f t="shared" si="9"/>
        <v>1.544</v>
      </c>
      <c r="I58" s="255">
        <f t="shared" si="9"/>
        <v>1.544</v>
      </c>
      <c r="J58" s="255">
        <f t="shared" si="9"/>
        <v>1.544</v>
      </c>
      <c r="K58" s="255">
        <f t="shared" si="9"/>
        <v>1.544</v>
      </c>
      <c r="L58" s="255">
        <f t="shared" si="9"/>
        <v>1.544</v>
      </c>
      <c r="M58" s="255">
        <f t="shared" si="9"/>
        <v>1.544</v>
      </c>
      <c r="N58" s="255">
        <f t="shared" si="9"/>
        <v>1.544</v>
      </c>
      <c r="O58" s="255">
        <f t="shared" si="9"/>
        <v>1.544</v>
      </c>
      <c r="P58" s="256">
        <f t="shared" si="9"/>
        <v>1.544</v>
      </c>
      <c r="Q58" s="50"/>
      <c r="R58" s="50"/>
      <c r="S58" s="50"/>
      <c r="T58" s="50"/>
      <c r="U58" s="50"/>
      <c r="V58" s="50"/>
      <c r="W58" s="50"/>
      <c r="X58" s="50"/>
      <c r="Y58" s="50"/>
      <c r="Z58" s="50"/>
    </row>
    <row r="59" spans="1:26" ht="15.75" customHeight="1" x14ac:dyDescent="0.35">
      <c r="A59" s="50"/>
      <c r="B59" s="53" t="s">
        <v>152</v>
      </c>
      <c r="C59" s="63" t="s">
        <v>325</v>
      </c>
      <c r="D59" s="255">
        <f>D17</f>
        <v>1.544</v>
      </c>
      <c r="E59" s="255">
        <f t="shared" ref="E59:P59" si="10">D59</f>
        <v>1.544</v>
      </c>
      <c r="F59" s="255">
        <f t="shared" si="10"/>
        <v>1.544</v>
      </c>
      <c r="G59" s="255">
        <f t="shared" si="10"/>
        <v>1.544</v>
      </c>
      <c r="H59" s="255">
        <f t="shared" si="10"/>
        <v>1.544</v>
      </c>
      <c r="I59" s="255">
        <f t="shared" si="10"/>
        <v>1.544</v>
      </c>
      <c r="J59" s="255">
        <f t="shared" si="10"/>
        <v>1.544</v>
      </c>
      <c r="K59" s="255">
        <f t="shared" si="10"/>
        <v>1.544</v>
      </c>
      <c r="L59" s="255">
        <f t="shared" si="10"/>
        <v>1.544</v>
      </c>
      <c r="M59" s="255">
        <f t="shared" si="10"/>
        <v>1.544</v>
      </c>
      <c r="N59" s="255">
        <f t="shared" si="10"/>
        <v>1.544</v>
      </c>
      <c r="O59" s="255">
        <f t="shared" si="10"/>
        <v>1.544</v>
      </c>
      <c r="P59" s="256">
        <f t="shared" si="10"/>
        <v>1.544</v>
      </c>
      <c r="Q59" s="50"/>
      <c r="R59" s="50"/>
      <c r="S59" s="50"/>
      <c r="T59" s="50"/>
      <c r="U59" s="50"/>
      <c r="V59" s="50"/>
      <c r="W59" s="50"/>
      <c r="X59" s="50"/>
      <c r="Y59" s="50"/>
      <c r="Z59" s="50"/>
    </row>
    <row r="60" spans="1:26" ht="15.75" customHeight="1" x14ac:dyDescent="0.35">
      <c r="A60" s="50"/>
      <c r="B60" s="53" t="s">
        <v>153</v>
      </c>
      <c r="C60" s="63" t="s">
        <v>325</v>
      </c>
      <c r="D60" s="255">
        <f>D17</f>
        <v>1.544</v>
      </c>
      <c r="E60" s="255">
        <f t="shared" ref="E60:P60" si="11">D60</f>
        <v>1.544</v>
      </c>
      <c r="F60" s="255">
        <f t="shared" si="11"/>
        <v>1.544</v>
      </c>
      <c r="G60" s="255">
        <f t="shared" si="11"/>
        <v>1.544</v>
      </c>
      <c r="H60" s="255">
        <f t="shared" si="11"/>
        <v>1.544</v>
      </c>
      <c r="I60" s="255">
        <f t="shared" si="11"/>
        <v>1.544</v>
      </c>
      <c r="J60" s="255">
        <f t="shared" si="11"/>
        <v>1.544</v>
      </c>
      <c r="K60" s="255">
        <f t="shared" si="11"/>
        <v>1.544</v>
      </c>
      <c r="L60" s="255">
        <f t="shared" si="11"/>
        <v>1.544</v>
      </c>
      <c r="M60" s="255">
        <f t="shared" si="11"/>
        <v>1.544</v>
      </c>
      <c r="N60" s="255">
        <f t="shared" si="11"/>
        <v>1.544</v>
      </c>
      <c r="O60" s="255">
        <f t="shared" si="11"/>
        <v>1.544</v>
      </c>
      <c r="P60" s="256">
        <f t="shared" si="11"/>
        <v>1.544</v>
      </c>
      <c r="Q60" s="50"/>
      <c r="R60" s="50"/>
      <c r="S60" s="50"/>
      <c r="T60" s="50"/>
      <c r="U60" s="50"/>
      <c r="V60" s="50"/>
      <c r="W60" s="50"/>
      <c r="X60" s="50"/>
      <c r="Y60" s="50"/>
      <c r="Z60" s="50"/>
    </row>
    <row r="61" spans="1:26" ht="15.75" customHeight="1" x14ac:dyDescent="0.35">
      <c r="A61" s="50"/>
      <c r="B61" s="53" t="s">
        <v>154</v>
      </c>
      <c r="C61" s="63" t="s">
        <v>325</v>
      </c>
      <c r="D61" s="255">
        <f>D17</f>
        <v>1.544</v>
      </c>
      <c r="E61" s="255">
        <f t="shared" ref="E61:P61" si="12">D61</f>
        <v>1.544</v>
      </c>
      <c r="F61" s="255">
        <f t="shared" si="12"/>
        <v>1.544</v>
      </c>
      <c r="G61" s="255">
        <f t="shared" si="12"/>
        <v>1.544</v>
      </c>
      <c r="H61" s="255">
        <f t="shared" si="12"/>
        <v>1.544</v>
      </c>
      <c r="I61" s="255">
        <f t="shared" si="12"/>
        <v>1.544</v>
      </c>
      <c r="J61" s="255">
        <f t="shared" si="12"/>
        <v>1.544</v>
      </c>
      <c r="K61" s="255">
        <f t="shared" si="12"/>
        <v>1.544</v>
      </c>
      <c r="L61" s="255">
        <f t="shared" si="12"/>
        <v>1.544</v>
      </c>
      <c r="M61" s="255">
        <f t="shared" si="12"/>
        <v>1.544</v>
      </c>
      <c r="N61" s="255">
        <f t="shared" si="12"/>
        <v>1.544</v>
      </c>
      <c r="O61" s="255">
        <f t="shared" si="12"/>
        <v>1.544</v>
      </c>
      <c r="P61" s="256">
        <f t="shared" si="12"/>
        <v>1.544</v>
      </c>
      <c r="Q61" s="50"/>
      <c r="R61" s="50"/>
      <c r="S61" s="50"/>
      <c r="T61" s="50"/>
      <c r="U61" s="50"/>
      <c r="V61" s="50"/>
      <c r="W61" s="50"/>
      <c r="X61" s="50"/>
      <c r="Y61" s="50"/>
      <c r="Z61" s="50"/>
    </row>
    <row r="62" spans="1:26" ht="15.75" customHeight="1" x14ac:dyDescent="0.35">
      <c r="A62" s="50"/>
      <c r="B62" s="53" t="s">
        <v>155</v>
      </c>
      <c r="C62" s="63" t="s">
        <v>325</v>
      </c>
      <c r="D62" s="255">
        <f>D17</f>
        <v>1.544</v>
      </c>
      <c r="E62" s="255">
        <f t="shared" ref="E62:P62" si="13">D62</f>
        <v>1.544</v>
      </c>
      <c r="F62" s="255">
        <f t="shared" si="13"/>
        <v>1.544</v>
      </c>
      <c r="G62" s="255">
        <f t="shared" si="13"/>
        <v>1.544</v>
      </c>
      <c r="H62" s="255">
        <f t="shared" si="13"/>
        <v>1.544</v>
      </c>
      <c r="I62" s="255">
        <f t="shared" si="13"/>
        <v>1.544</v>
      </c>
      <c r="J62" s="255">
        <f t="shared" si="13"/>
        <v>1.544</v>
      </c>
      <c r="K62" s="255">
        <f t="shared" si="13"/>
        <v>1.544</v>
      </c>
      <c r="L62" s="255">
        <f t="shared" si="13"/>
        <v>1.544</v>
      </c>
      <c r="M62" s="255">
        <f t="shared" si="13"/>
        <v>1.544</v>
      </c>
      <c r="N62" s="255">
        <f t="shared" si="13"/>
        <v>1.544</v>
      </c>
      <c r="O62" s="255">
        <f t="shared" si="13"/>
        <v>1.544</v>
      </c>
      <c r="P62" s="256">
        <f t="shared" si="13"/>
        <v>1.544</v>
      </c>
      <c r="Q62" s="50"/>
      <c r="R62" s="50"/>
      <c r="S62" s="50"/>
      <c r="T62" s="50"/>
      <c r="U62" s="50"/>
      <c r="V62" s="50"/>
      <c r="W62" s="50"/>
      <c r="X62" s="50"/>
      <c r="Y62" s="50"/>
      <c r="Z62" s="50"/>
    </row>
    <row r="63" spans="1:26" ht="15.75" customHeight="1" x14ac:dyDescent="0.35">
      <c r="A63" s="50"/>
      <c r="B63" s="53" t="s">
        <v>156</v>
      </c>
      <c r="C63" s="63" t="s">
        <v>325</v>
      </c>
      <c r="D63" s="255">
        <f>D17</f>
        <v>1.544</v>
      </c>
      <c r="E63" s="255">
        <f t="shared" ref="E63:P63" si="14">D63</f>
        <v>1.544</v>
      </c>
      <c r="F63" s="255">
        <f t="shared" si="14"/>
        <v>1.544</v>
      </c>
      <c r="G63" s="255">
        <f t="shared" si="14"/>
        <v>1.544</v>
      </c>
      <c r="H63" s="255">
        <f t="shared" si="14"/>
        <v>1.544</v>
      </c>
      <c r="I63" s="255">
        <f t="shared" si="14"/>
        <v>1.544</v>
      </c>
      <c r="J63" s="255">
        <f t="shared" si="14"/>
        <v>1.544</v>
      </c>
      <c r="K63" s="255">
        <f t="shared" si="14"/>
        <v>1.544</v>
      </c>
      <c r="L63" s="255">
        <f t="shared" si="14"/>
        <v>1.544</v>
      </c>
      <c r="M63" s="255">
        <f t="shared" si="14"/>
        <v>1.544</v>
      </c>
      <c r="N63" s="255">
        <f t="shared" si="14"/>
        <v>1.544</v>
      </c>
      <c r="O63" s="255">
        <f t="shared" si="14"/>
        <v>1.544</v>
      </c>
      <c r="P63" s="256">
        <f t="shared" si="14"/>
        <v>1.544</v>
      </c>
      <c r="Q63" s="50"/>
      <c r="R63" s="50"/>
      <c r="S63" s="50"/>
      <c r="T63" s="50"/>
      <c r="U63" s="50"/>
      <c r="V63" s="50"/>
      <c r="W63" s="50"/>
      <c r="X63" s="50"/>
      <c r="Y63" s="50"/>
      <c r="Z63" s="50"/>
    </row>
    <row r="64" spans="1:26" ht="15.75" customHeight="1" x14ac:dyDescent="0.35">
      <c r="A64" s="50"/>
      <c r="B64" s="161" t="s">
        <v>96</v>
      </c>
      <c r="C64" s="63" t="s">
        <v>325</v>
      </c>
      <c r="D64" s="255">
        <f>D17</f>
        <v>1.544</v>
      </c>
      <c r="E64" s="255">
        <f t="shared" ref="E64:P64" si="15">D64</f>
        <v>1.544</v>
      </c>
      <c r="F64" s="255">
        <f t="shared" si="15"/>
        <v>1.544</v>
      </c>
      <c r="G64" s="255">
        <f t="shared" si="15"/>
        <v>1.544</v>
      </c>
      <c r="H64" s="255">
        <f t="shared" si="15"/>
        <v>1.544</v>
      </c>
      <c r="I64" s="255">
        <f t="shared" si="15"/>
        <v>1.544</v>
      </c>
      <c r="J64" s="255">
        <f t="shared" si="15"/>
        <v>1.544</v>
      </c>
      <c r="K64" s="255">
        <f t="shared" si="15"/>
        <v>1.544</v>
      </c>
      <c r="L64" s="255">
        <f t="shared" si="15"/>
        <v>1.544</v>
      </c>
      <c r="M64" s="255">
        <f t="shared" si="15"/>
        <v>1.544</v>
      </c>
      <c r="N64" s="255">
        <f t="shared" si="15"/>
        <v>1.544</v>
      </c>
      <c r="O64" s="255">
        <f t="shared" si="15"/>
        <v>1.544</v>
      </c>
      <c r="P64" s="256">
        <f t="shared" si="15"/>
        <v>1.544</v>
      </c>
      <c r="Q64" s="50"/>
      <c r="R64" s="50"/>
      <c r="S64" s="50"/>
      <c r="T64" s="50"/>
      <c r="U64" s="50"/>
      <c r="V64" s="50"/>
      <c r="W64" s="50"/>
      <c r="X64" s="50"/>
      <c r="Y64" s="50"/>
      <c r="Z64" s="50"/>
    </row>
    <row r="65" spans="1:26" ht="15.75" customHeight="1" x14ac:dyDescent="0.35">
      <c r="A65" s="50"/>
      <c r="B65" s="53" t="s">
        <v>158</v>
      </c>
      <c r="C65" s="63" t="s">
        <v>325</v>
      </c>
      <c r="D65" s="255">
        <f>D17</f>
        <v>1.544</v>
      </c>
      <c r="E65" s="255">
        <f t="shared" ref="E65:P65" si="16">D65</f>
        <v>1.544</v>
      </c>
      <c r="F65" s="255">
        <f t="shared" si="16"/>
        <v>1.544</v>
      </c>
      <c r="G65" s="255">
        <f t="shared" si="16"/>
        <v>1.544</v>
      </c>
      <c r="H65" s="255">
        <f t="shared" si="16"/>
        <v>1.544</v>
      </c>
      <c r="I65" s="255">
        <f t="shared" si="16"/>
        <v>1.544</v>
      </c>
      <c r="J65" s="255">
        <f t="shared" si="16"/>
        <v>1.544</v>
      </c>
      <c r="K65" s="255">
        <f t="shared" si="16"/>
        <v>1.544</v>
      </c>
      <c r="L65" s="255">
        <f t="shared" si="16"/>
        <v>1.544</v>
      </c>
      <c r="M65" s="255">
        <f t="shared" si="16"/>
        <v>1.544</v>
      </c>
      <c r="N65" s="255">
        <f t="shared" si="16"/>
        <v>1.544</v>
      </c>
      <c r="O65" s="255">
        <f t="shared" si="16"/>
        <v>1.544</v>
      </c>
      <c r="P65" s="256">
        <f t="shared" si="16"/>
        <v>1.544</v>
      </c>
      <c r="Q65" s="50"/>
      <c r="R65" s="50"/>
      <c r="S65" s="50"/>
      <c r="T65" s="50"/>
      <c r="U65" s="50"/>
      <c r="V65" s="50"/>
      <c r="W65" s="50"/>
      <c r="X65" s="50"/>
      <c r="Y65" s="50"/>
      <c r="Z65" s="50"/>
    </row>
    <row r="66" spans="1:26" ht="15.75" customHeight="1" x14ac:dyDescent="0.35">
      <c r="A66" s="50"/>
      <c r="B66" s="53"/>
      <c r="C66" s="63"/>
      <c r="D66" s="242"/>
      <c r="E66" s="242"/>
      <c r="F66" s="242"/>
      <c r="G66" s="242"/>
      <c r="H66" s="242"/>
      <c r="I66" s="242"/>
      <c r="J66" s="242"/>
      <c r="K66" s="242"/>
      <c r="L66" s="242"/>
      <c r="M66" s="242"/>
      <c r="N66" s="242"/>
      <c r="O66" s="242"/>
      <c r="P66" s="243"/>
      <c r="Q66" s="50"/>
      <c r="R66" s="50"/>
      <c r="S66" s="50"/>
      <c r="T66" s="50"/>
      <c r="U66" s="50"/>
      <c r="V66" s="50"/>
      <c r="W66" s="50"/>
      <c r="X66" s="50"/>
      <c r="Y66" s="50"/>
      <c r="Z66" s="50"/>
    </row>
    <row r="67" spans="1:26" ht="15.75" customHeight="1" x14ac:dyDescent="0.35">
      <c r="A67" s="50"/>
      <c r="B67" s="62" t="s">
        <v>338</v>
      </c>
      <c r="C67" s="47"/>
      <c r="D67" s="120"/>
      <c r="E67" s="120"/>
      <c r="F67" s="120"/>
      <c r="G67" s="120"/>
      <c r="H67" s="120"/>
      <c r="I67" s="120"/>
      <c r="J67" s="120"/>
      <c r="K67" s="120"/>
      <c r="L67" s="120"/>
      <c r="M67" s="120"/>
      <c r="N67" s="50"/>
      <c r="O67" s="50"/>
      <c r="P67" s="115"/>
      <c r="Q67" s="50"/>
      <c r="R67" s="50"/>
      <c r="S67" s="50"/>
      <c r="T67" s="50"/>
      <c r="U67" s="50"/>
      <c r="V67" s="50"/>
      <c r="W67" s="50"/>
      <c r="X67" s="50"/>
      <c r="Y67" s="50"/>
      <c r="Z67" s="50"/>
    </row>
    <row r="68" spans="1:26" ht="15.75" customHeight="1" x14ac:dyDescent="0.35">
      <c r="A68" s="50"/>
      <c r="B68" s="53" t="s">
        <v>145</v>
      </c>
      <c r="C68" s="63" t="s">
        <v>325</v>
      </c>
      <c r="D68" s="120">
        <f t="shared" ref="D68:P68" si="17">D36*D52</f>
        <v>3088</v>
      </c>
      <c r="E68" s="120">
        <f t="shared" si="17"/>
        <v>3103.44</v>
      </c>
      <c r="F68" s="120">
        <f t="shared" si="17"/>
        <v>3119.0344</v>
      </c>
      <c r="G68" s="120">
        <f t="shared" si="17"/>
        <v>3150.2247440000001</v>
      </c>
      <c r="H68" s="120">
        <f t="shared" si="17"/>
        <v>3181.7269914399999</v>
      </c>
      <c r="I68" s="120">
        <f t="shared" si="17"/>
        <v>3213.5442613544001</v>
      </c>
      <c r="J68" s="120">
        <f t="shared" si="17"/>
        <v>3245.6797039679441</v>
      </c>
      <c r="K68" s="120">
        <f t="shared" si="17"/>
        <v>3278.1365010076233</v>
      </c>
      <c r="L68" s="120">
        <f t="shared" si="17"/>
        <v>3310.917866017699</v>
      </c>
      <c r="M68" s="120">
        <f t="shared" si="17"/>
        <v>3344.0270446778759</v>
      </c>
      <c r="N68" s="120">
        <f t="shared" si="17"/>
        <v>3377.4673151246548</v>
      </c>
      <c r="O68" s="120">
        <f t="shared" si="17"/>
        <v>3411.2419882759023</v>
      </c>
      <c r="P68" s="120">
        <f t="shared" si="17"/>
        <v>3445.354408158661</v>
      </c>
      <c r="Q68" s="120"/>
      <c r="R68" s="50"/>
      <c r="S68" s="50"/>
      <c r="T68" s="50"/>
      <c r="U68" s="50"/>
      <c r="V68" s="50"/>
      <c r="W68" s="50"/>
      <c r="X68" s="50"/>
      <c r="Y68" s="50"/>
      <c r="Z68" s="50"/>
    </row>
    <row r="69" spans="1:26" ht="15.75" customHeight="1" x14ac:dyDescent="0.35">
      <c r="A69" s="50"/>
      <c r="B69" s="53" t="s">
        <v>146</v>
      </c>
      <c r="C69" s="63" t="s">
        <v>325</v>
      </c>
      <c r="D69" s="120">
        <f t="shared" ref="D69:P69" si="18">D37*D53</f>
        <v>3088</v>
      </c>
      <c r="E69" s="120">
        <f t="shared" si="18"/>
        <v>3103.44</v>
      </c>
      <c r="F69" s="120">
        <f t="shared" si="18"/>
        <v>3119.0344</v>
      </c>
      <c r="G69" s="120">
        <f t="shared" si="18"/>
        <v>3150.2247440000001</v>
      </c>
      <c r="H69" s="120">
        <f t="shared" si="18"/>
        <v>3181.7269914399999</v>
      </c>
      <c r="I69" s="120">
        <f t="shared" si="18"/>
        <v>3213.5442613544001</v>
      </c>
      <c r="J69" s="120">
        <f t="shared" si="18"/>
        <v>3245.6797039679441</v>
      </c>
      <c r="K69" s="120">
        <f t="shared" si="18"/>
        <v>3278.1365010076233</v>
      </c>
      <c r="L69" s="120">
        <f t="shared" si="18"/>
        <v>3310.917866017699</v>
      </c>
      <c r="M69" s="120">
        <f t="shared" si="18"/>
        <v>3344.0270446778759</v>
      </c>
      <c r="N69" s="120">
        <f t="shared" si="18"/>
        <v>3377.4673151246548</v>
      </c>
      <c r="O69" s="120">
        <f t="shared" si="18"/>
        <v>3411.2419882759023</v>
      </c>
      <c r="P69" s="120">
        <f t="shared" si="18"/>
        <v>3445.354408158661</v>
      </c>
      <c r="Q69" s="120"/>
      <c r="R69" s="50"/>
      <c r="S69" s="50"/>
      <c r="T69" s="50"/>
      <c r="U69" s="50"/>
      <c r="V69" s="50"/>
      <c r="W69" s="50"/>
      <c r="X69" s="50"/>
      <c r="Y69" s="50"/>
      <c r="Z69" s="50"/>
    </row>
    <row r="70" spans="1:26" ht="15.75" customHeight="1" x14ac:dyDescent="0.35">
      <c r="A70" s="50"/>
      <c r="B70" s="53" t="s">
        <v>147</v>
      </c>
      <c r="C70" s="63" t="s">
        <v>325</v>
      </c>
      <c r="D70" s="120">
        <f t="shared" ref="D70:P70" si="19">D38*D54</f>
        <v>1000</v>
      </c>
      <c r="E70" s="120">
        <f t="shared" si="19"/>
        <v>1005</v>
      </c>
      <c r="F70" s="120">
        <f t="shared" si="19"/>
        <v>1010.05</v>
      </c>
      <c r="G70" s="120">
        <f t="shared" si="19"/>
        <v>1020.1505</v>
      </c>
      <c r="H70" s="120">
        <f t="shared" si="19"/>
        <v>1030.352005</v>
      </c>
      <c r="I70" s="120">
        <f t="shared" si="19"/>
        <v>1040.6555250500001</v>
      </c>
      <c r="J70" s="120">
        <f t="shared" si="19"/>
        <v>1051.0620803004999</v>
      </c>
      <c r="K70" s="120">
        <f t="shared" si="19"/>
        <v>1061.5727011035049</v>
      </c>
      <c r="L70" s="120">
        <f t="shared" si="19"/>
        <v>1072.1884281145399</v>
      </c>
      <c r="M70" s="120">
        <f t="shared" si="19"/>
        <v>1082.9103123956852</v>
      </c>
      <c r="N70" s="120">
        <f t="shared" si="19"/>
        <v>1093.7394155196421</v>
      </c>
      <c r="O70" s="120">
        <f t="shared" si="19"/>
        <v>1104.6768096748388</v>
      </c>
      <c r="P70" s="120">
        <f t="shared" si="19"/>
        <v>1115.7235777715871</v>
      </c>
      <c r="Q70" s="120"/>
      <c r="R70" s="50"/>
      <c r="S70" s="50"/>
      <c r="T70" s="50"/>
      <c r="U70" s="50"/>
      <c r="V70" s="50"/>
      <c r="W70" s="50"/>
      <c r="X70" s="50"/>
      <c r="Y70" s="50"/>
      <c r="Z70" s="50"/>
    </row>
    <row r="71" spans="1:26" ht="15.75" customHeight="1" x14ac:dyDescent="0.35">
      <c r="A71" s="50"/>
      <c r="B71" s="53" t="s">
        <v>148</v>
      </c>
      <c r="C71" s="63" t="s">
        <v>325</v>
      </c>
      <c r="D71" s="120">
        <f t="shared" ref="D71:P71" si="20">D39*D55</f>
        <v>2459.9999999999991</v>
      </c>
      <c r="E71" s="120">
        <f t="shared" si="20"/>
        <v>2472.2999999999993</v>
      </c>
      <c r="F71" s="120">
        <f t="shared" si="20"/>
        <v>2484.722999999999</v>
      </c>
      <c r="G71" s="120">
        <f t="shared" si="20"/>
        <v>2509.5702299999989</v>
      </c>
      <c r="H71" s="120">
        <f t="shared" si="20"/>
        <v>2534.665932299999</v>
      </c>
      <c r="I71" s="120">
        <f t="shared" si="20"/>
        <v>2560.012591622999</v>
      </c>
      <c r="J71" s="120">
        <f t="shared" si="20"/>
        <v>2585.6127175392289</v>
      </c>
      <c r="K71" s="120">
        <f t="shared" si="20"/>
        <v>2611.4688447146209</v>
      </c>
      <c r="L71" s="120">
        <f t="shared" si="20"/>
        <v>2637.5835331617673</v>
      </c>
      <c r="M71" s="120">
        <f t="shared" si="20"/>
        <v>2663.9593684933848</v>
      </c>
      <c r="N71" s="120">
        <f t="shared" si="20"/>
        <v>2690.5989621783183</v>
      </c>
      <c r="O71" s="120">
        <f t="shared" si="20"/>
        <v>2717.5049518001024</v>
      </c>
      <c r="P71" s="120">
        <f t="shared" si="20"/>
        <v>2744.6800013181032</v>
      </c>
      <c r="Q71" s="120"/>
      <c r="R71" s="50"/>
      <c r="S71" s="50"/>
      <c r="T71" s="50"/>
      <c r="U71" s="50"/>
      <c r="V71" s="50"/>
      <c r="W71" s="50"/>
      <c r="X71" s="50"/>
      <c r="Y71" s="50"/>
      <c r="Z71" s="50"/>
    </row>
    <row r="72" spans="1:26" ht="15.75" customHeight="1" x14ac:dyDescent="0.35">
      <c r="A72" s="50"/>
      <c r="B72" s="53" t="s">
        <v>149</v>
      </c>
      <c r="C72" s="63" t="s">
        <v>325</v>
      </c>
      <c r="D72" s="120">
        <f t="shared" ref="D72:P72" si="21">D40*D56</f>
        <v>3480.0000000000005</v>
      </c>
      <c r="E72" s="120">
        <f t="shared" si="21"/>
        <v>3497.4000000000005</v>
      </c>
      <c r="F72" s="120">
        <f t="shared" si="21"/>
        <v>3514.9740000000002</v>
      </c>
      <c r="G72" s="120">
        <f t="shared" si="21"/>
        <v>3550.1237400000005</v>
      </c>
      <c r="H72" s="120">
        <f t="shared" si="21"/>
        <v>3585.6249774000003</v>
      </c>
      <c r="I72" s="120">
        <f t="shared" si="21"/>
        <v>3621.4812271740007</v>
      </c>
      <c r="J72" s="120">
        <f t="shared" si="21"/>
        <v>3657.6960394457401</v>
      </c>
      <c r="K72" s="120">
        <f t="shared" si="21"/>
        <v>3694.2729998401974</v>
      </c>
      <c r="L72" s="120">
        <f t="shared" si="21"/>
        <v>3731.2157298385991</v>
      </c>
      <c r="M72" s="120">
        <f t="shared" si="21"/>
        <v>3768.5278871369851</v>
      </c>
      <c r="N72" s="120">
        <f t="shared" si="21"/>
        <v>3806.2131660083551</v>
      </c>
      <c r="O72" s="120">
        <f t="shared" si="21"/>
        <v>3844.2752976684392</v>
      </c>
      <c r="P72" s="120">
        <f t="shared" si="21"/>
        <v>3882.7180506451236</v>
      </c>
      <c r="Q72" s="120"/>
      <c r="R72" s="50"/>
      <c r="S72" s="50"/>
      <c r="T72" s="50"/>
      <c r="U72" s="50"/>
      <c r="V72" s="50"/>
      <c r="W72" s="50"/>
      <c r="X72" s="50"/>
      <c r="Y72" s="50"/>
      <c r="Z72" s="50"/>
    </row>
    <row r="73" spans="1:26" ht="15.75" customHeight="1" x14ac:dyDescent="0.35">
      <c r="A73" s="50"/>
      <c r="B73" s="53" t="s">
        <v>198</v>
      </c>
      <c r="C73" s="63" t="s">
        <v>325</v>
      </c>
      <c r="D73" s="120">
        <f t="shared" ref="D73:P73" si="22">D41*D57</f>
        <v>3088</v>
      </c>
      <c r="E73" s="120">
        <f t="shared" si="22"/>
        <v>3103.44</v>
      </c>
      <c r="F73" s="120">
        <f t="shared" si="22"/>
        <v>3119.0344</v>
      </c>
      <c r="G73" s="120">
        <f t="shared" si="22"/>
        <v>3150.2247440000001</v>
      </c>
      <c r="H73" s="120">
        <f t="shared" si="22"/>
        <v>3181.7269914399999</v>
      </c>
      <c r="I73" s="120">
        <f t="shared" si="22"/>
        <v>3213.5442613544001</v>
      </c>
      <c r="J73" s="120">
        <f t="shared" si="22"/>
        <v>3245.6797039679441</v>
      </c>
      <c r="K73" s="120">
        <f t="shared" si="22"/>
        <v>3278.1365010076233</v>
      </c>
      <c r="L73" s="120">
        <f t="shared" si="22"/>
        <v>3310.917866017699</v>
      </c>
      <c r="M73" s="120">
        <f t="shared" si="22"/>
        <v>3344.0270446778759</v>
      </c>
      <c r="N73" s="120">
        <f t="shared" si="22"/>
        <v>3377.4673151246548</v>
      </c>
      <c r="O73" s="120">
        <f t="shared" si="22"/>
        <v>3411.2419882759023</v>
      </c>
      <c r="P73" s="120">
        <f t="shared" si="22"/>
        <v>3445.354408158661</v>
      </c>
      <c r="Q73" s="120"/>
      <c r="R73" s="50"/>
      <c r="S73" s="50"/>
      <c r="T73" s="50"/>
      <c r="U73" s="50"/>
      <c r="V73" s="50"/>
      <c r="W73" s="50"/>
      <c r="X73" s="50"/>
      <c r="Y73" s="50"/>
      <c r="Z73" s="50"/>
    </row>
    <row r="74" spans="1:26" ht="15.75" customHeight="1" x14ac:dyDescent="0.35">
      <c r="A74" s="50"/>
      <c r="B74" s="53" t="s">
        <v>199</v>
      </c>
      <c r="C74" s="63" t="s">
        <v>325</v>
      </c>
      <c r="D74" s="120">
        <f t="shared" ref="D74:P74" si="23">D42*D58</f>
        <v>3088</v>
      </c>
      <c r="E74" s="120">
        <f t="shared" si="23"/>
        <v>3103.44</v>
      </c>
      <c r="F74" s="120">
        <f t="shared" si="23"/>
        <v>3119.0344</v>
      </c>
      <c r="G74" s="120">
        <f t="shared" si="23"/>
        <v>3150.2247440000001</v>
      </c>
      <c r="H74" s="120">
        <f t="shared" si="23"/>
        <v>3181.7269914399999</v>
      </c>
      <c r="I74" s="120">
        <f t="shared" si="23"/>
        <v>3213.5442613544001</v>
      </c>
      <c r="J74" s="120">
        <f t="shared" si="23"/>
        <v>3245.6797039679441</v>
      </c>
      <c r="K74" s="120">
        <f t="shared" si="23"/>
        <v>3278.1365010076233</v>
      </c>
      <c r="L74" s="120">
        <f t="shared" si="23"/>
        <v>3310.917866017699</v>
      </c>
      <c r="M74" s="120">
        <f t="shared" si="23"/>
        <v>3344.0270446778759</v>
      </c>
      <c r="N74" s="120">
        <f t="shared" si="23"/>
        <v>3377.4673151246548</v>
      </c>
      <c r="O74" s="120">
        <f t="shared" si="23"/>
        <v>3411.2419882759023</v>
      </c>
      <c r="P74" s="120">
        <f t="shared" si="23"/>
        <v>3445.354408158661</v>
      </c>
      <c r="Q74" s="120"/>
      <c r="R74" s="50"/>
      <c r="S74" s="50"/>
      <c r="T74" s="50"/>
      <c r="U74" s="50"/>
      <c r="V74" s="50"/>
      <c r="W74" s="50"/>
      <c r="X74" s="50"/>
      <c r="Y74" s="50"/>
      <c r="Z74" s="50"/>
    </row>
    <row r="75" spans="1:26" ht="15.75" customHeight="1" x14ac:dyDescent="0.35">
      <c r="A75" s="237"/>
      <c r="B75" s="53" t="s">
        <v>152</v>
      </c>
      <c r="C75" s="63" t="s">
        <v>325</v>
      </c>
      <c r="D75" s="120">
        <f t="shared" ref="D75:P75" si="24">D43*D59</f>
        <v>3088</v>
      </c>
      <c r="E75" s="120">
        <f t="shared" si="24"/>
        <v>3103.44</v>
      </c>
      <c r="F75" s="120">
        <f t="shared" si="24"/>
        <v>3119.0344</v>
      </c>
      <c r="G75" s="120">
        <f t="shared" si="24"/>
        <v>3150.2247440000001</v>
      </c>
      <c r="H75" s="120">
        <f t="shared" si="24"/>
        <v>3181.7269914399999</v>
      </c>
      <c r="I75" s="120">
        <f t="shared" si="24"/>
        <v>3213.5442613544001</v>
      </c>
      <c r="J75" s="120">
        <f t="shared" si="24"/>
        <v>3245.6797039679441</v>
      </c>
      <c r="K75" s="120">
        <f t="shared" si="24"/>
        <v>3278.1365010076233</v>
      </c>
      <c r="L75" s="120">
        <f t="shared" si="24"/>
        <v>3310.917866017699</v>
      </c>
      <c r="M75" s="120">
        <f t="shared" si="24"/>
        <v>3344.0270446778759</v>
      </c>
      <c r="N75" s="120">
        <f t="shared" si="24"/>
        <v>3377.4673151246548</v>
      </c>
      <c r="O75" s="120">
        <f t="shared" si="24"/>
        <v>3411.2419882759023</v>
      </c>
      <c r="P75" s="120">
        <f t="shared" si="24"/>
        <v>3445.354408158661</v>
      </c>
      <c r="Q75" s="120"/>
      <c r="R75" s="237"/>
      <c r="S75" s="237"/>
      <c r="T75" s="237"/>
      <c r="U75" s="237"/>
      <c r="V75" s="237"/>
      <c r="W75" s="237"/>
      <c r="X75" s="237"/>
      <c r="Y75" s="237"/>
      <c r="Z75" s="237"/>
    </row>
    <row r="76" spans="1:26" ht="15.75" customHeight="1" x14ac:dyDescent="0.35">
      <c r="A76" s="50"/>
      <c r="B76" s="53" t="s">
        <v>153</v>
      </c>
      <c r="C76" s="63" t="s">
        <v>325</v>
      </c>
      <c r="D76" s="120">
        <f t="shared" ref="D76:P76" si="25">D44*D60</f>
        <v>3088</v>
      </c>
      <c r="E76" s="120">
        <f t="shared" si="25"/>
        <v>3103.44</v>
      </c>
      <c r="F76" s="120">
        <f t="shared" si="25"/>
        <v>3119.0344</v>
      </c>
      <c r="G76" s="120">
        <f t="shared" si="25"/>
        <v>3150.2247440000001</v>
      </c>
      <c r="H76" s="120">
        <f t="shared" si="25"/>
        <v>3181.7269914399999</v>
      </c>
      <c r="I76" s="120">
        <f t="shared" si="25"/>
        <v>3213.5442613544001</v>
      </c>
      <c r="J76" s="120">
        <f t="shared" si="25"/>
        <v>3245.6797039679441</v>
      </c>
      <c r="K76" s="120">
        <f t="shared" si="25"/>
        <v>3278.1365010076233</v>
      </c>
      <c r="L76" s="120">
        <f t="shared" si="25"/>
        <v>3310.917866017699</v>
      </c>
      <c r="M76" s="120">
        <f t="shared" si="25"/>
        <v>3344.0270446778759</v>
      </c>
      <c r="N76" s="120">
        <f t="shared" si="25"/>
        <v>3377.4673151246548</v>
      </c>
      <c r="O76" s="120">
        <f t="shared" si="25"/>
        <v>3411.2419882759023</v>
      </c>
      <c r="P76" s="120">
        <f t="shared" si="25"/>
        <v>3445.354408158661</v>
      </c>
      <c r="Q76" s="120"/>
      <c r="R76" s="50"/>
      <c r="S76" s="50"/>
      <c r="T76" s="50"/>
      <c r="U76" s="50"/>
      <c r="V76" s="50"/>
      <c r="W76" s="50"/>
      <c r="X76" s="50"/>
      <c r="Y76" s="50"/>
      <c r="Z76" s="50"/>
    </row>
    <row r="77" spans="1:26" ht="15.75" customHeight="1" x14ac:dyDescent="0.35">
      <c r="A77" s="50"/>
      <c r="B77" s="53" t="s">
        <v>154</v>
      </c>
      <c r="C77" s="63" t="s">
        <v>325</v>
      </c>
      <c r="D77" s="120">
        <f t="shared" ref="D77:P77" si="26">D45*D61</f>
        <v>3088</v>
      </c>
      <c r="E77" s="120">
        <f t="shared" si="26"/>
        <v>3103.44</v>
      </c>
      <c r="F77" s="120">
        <f t="shared" si="26"/>
        <v>3119.0344</v>
      </c>
      <c r="G77" s="120">
        <f t="shared" si="26"/>
        <v>3150.2247440000001</v>
      </c>
      <c r="H77" s="120">
        <f t="shared" si="26"/>
        <v>3181.7269914399999</v>
      </c>
      <c r="I77" s="120">
        <f t="shared" si="26"/>
        <v>3213.5442613544001</v>
      </c>
      <c r="J77" s="120">
        <f t="shared" si="26"/>
        <v>3245.6797039679441</v>
      </c>
      <c r="K77" s="120">
        <f t="shared" si="26"/>
        <v>3278.1365010076233</v>
      </c>
      <c r="L77" s="120">
        <f t="shared" si="26"/>
        <v>3310.917866017699</v>
      </c>
      <c r="M77" s="120">
        <f t="shared" si="26"/>
        <v>3344.0270446778759</v>
      </c>
      <c r="N77" s="120">
        <f t="shared" si="26"/>
        <v>3377.4673151246548</v>
      </c>
      <c r="O77" s="120">
        <f t="shared" si="26"/>
        <v>3411.2419882759023</v>
      </c>
      <c r="P77" s="120">
        <f t="shared" si="26"/>
        <v>3445.354408158661</v>
      </c>
      <c r="Q77" s="120"/>
      <c r="R77" s="50"/>
      <c r="S77" s="50"/>
      <c r="T77" s="50"/>
      <c r="U77" s="50"/>
      <c r="V77" s="50"/>
      <c r="W77" s="50"/>
      <c r="X77" s="50"/>
      <c r="Y77" s="50"/>
      <c r="Z77" s="50"/>
    </row>
    <row r="78" spans="1:26" ht="15.75" customHeight="1" x14ac:dyDescent="0.35">
      <c r="A78" s="50"/>
      <c r="B78" s="53" t="s">
        <v>155</v>
      </c>
      <c r="C78" s="63" t="s">
        <v>325</v>
      </c>
      <c r="D78" s="120">
        <f t="shared" ref="D78:P78" si="27">D46*D62</f>
        <v>3088</v>
      </c>
      <c r="E78" s="120">
        <f t="shared" si="27"/>
        <v>3103.44</v>
      </c>
      <c r="F78" s="120">
        <f t="shared" si="27"/>
        <v>3119.0344</v>
      </c>
      <c r="G78" s="120">
        <f t="shared" si="27"/>
        <v>3150.2247440000001</v>
      </c>
      <c r="H78" s="120">
        <f t="shared" si="27"/>
        <v>3181.7269914399999</v>
      </c>
      <c r="I78" s="120">
        <f t="shared" si="27"/>
        <v>3213.5442613544001</v>
      </c>
      <c r="J78" s="120">
        <f t="shared" si="27"/>
        <v>3245.6797039679441</v>
      </c>
      <c r="K78" s="120">
        <f t="shared" si="27"/>
        <v>3278.1365010076233</v>
      </c>
      <c r="L78" s="120">
        <f t="shared" si="27"/>
        <v>3310.917866017699</v>
      </c>
      <c r="M78" s="120">
        <f t="shared" si="27"/>
        <v>3344.0270446778759</v>
      </c>
      <c r="N78" s="120">
        <f t="shared" si="27"/>
        <v>3377.4673151246548</v>
      </c>
      <c r="O78" s="120">
        <f t="shared" si="27"/>
        <v>3411.2419882759023</v>
      </c>
      <c r="P78" s="120">
        <f t="shared" si="27"/>
        <v>3445.354408158661</v>
      </c>
      <c r="Q78" s="120"/>
      <c r="R78" s="50"/>
      <c r="S78" s="50"/>
      <c r="T78" s="50"/>
      <c r="U78" s="50"/>
      <c r="V78" s="50"/>
      <c r="W78" s="50"/>
      <c r="X78" s="50"/>
      <c r="Y78" s="50"/>
      <c r="Z78" s="50"/>
    </row>
    <row r="79" spans="1:26" ht="15.75" customHeight="1" x14ac:dyDescent="0.35">
      <c r="A79" s="50"/>
      <c r="B79" s="53" t="s">
        <v>156</v>
      </c>
      <c r="C79" s="63" t="s">
        <v>325</v>
      </c>
      <c r="D79" s="120">
        <f t="shared" ref="D79:P79" si="28">D47*D63</f>
        <v>3088</v>
      </c>
      <c r="E79" s="120">
        <f t="shared" si="28"/>
        <v>3103.44</v>
      </c>
      <c r="F79" s="120">
        <f t="shared" si="28"/>
        <v>3119.0344</v>
      </c>
      <c r="G79" s="120">
        <f t="shared" si="28"/>
        <v>3150.2247440000001</v>
      </c>
      <c r="H79" s="120">
        <f t="shared" si="28"/>
        <v>3181.7269914399999</v>
      </c>
      <c r="I79" s="120">
        <f t="shared" si="28"/>
        <v>3213.5442613544001</v>
      </c>
      <c r="J79" s="120">
        <f t="shared" si="28"/>
        <v>3245.6797039679441</v>
      </c>
      <c r="K79" s="120">
        <f t="shared" si="28"/>
        <v>3278.1365010076233</v>
      </c>
      <c r="L79" s="120">
        <f t="shared" si="28"/>
        <v>3310.917866017699</v>
      </c>
      <c r="M79" s="120">
        <f t="shared" si="28"/>
        <v>3344.0270446778759</v>
      </c>
      <c r="N79" s="120">
        <f t="shared" si="28"/>
        <v>3377.4673151246548</v>
      </c>
      <c r="O79" s="120">
        <f t="shared" si="28"/>
        <v>3411.2419882759023</v>
      </c>
      <c r="P79" s="120">
        <f t="shared" si="28"/>
        <v>3445.354408158661</v>
      </c>
      <c r="Q79" s="120"/>
      <c r="R79" s="50"/>
      <c r="S79" s="50"/>
      <c r="T79" s="50"/>
      <c r="U79" s="50"/>
      <c r="V79" s="50"/>
      <c r="W79" s="50"/>
      <c r="X79" s="50"/>
      <c r="Y79" s="50"/>
      <c r="Z79" s="50"/>
    </row>
    <row r="80" spans="1:26" ht="15.75" customHeight="1" x14ac:dyDescent="0.35">
      <c r="A80" s="50"/>
      <c r="B80" s="161" t="s">
        <v>96</v>
      </c>
      <c r="C80" s="63" t="s">
        <v>325</v>
      </c>
      <c r="D80" s="120">
        <f t="shared" ref="D80:P80" si="29">D48*D64</f>
        <v>3088</v>
      </c>
      <c r="E80" s="120">
        <f t="shared" si="29"/>
        <v>3103.44</v>
      </c>
      <c r="F80" s="120">
        <f t="shared" si="29"/>
        <v>3119.0344</v>
      </c>
      <c r="G80" s="120">
        <f t="shared" si="29"/>
        <v>3150.2247440000001</v>
      </c>
      <c r="H80" s="120">
        <f t="shared" si="29"/>
        <v>3181.7269914399999</v>
      </c>
      <c r="I80" s="120">
        <f t="shared" si="29"/>
        <v>3213.5442613544001</v>
      </c>
      <c r="J80" s="120">
        <f t="shared" si="29"/>
        <v>3245.6797039679441</v>
      </c>
      <c r="K80" s="120">
        <f t="shared" si="29"/>
        <v>3278.1365010076233</v>
      </c>
      <c r="L80" s="120">
        <f t="shared" si="29"/>
        <v>3310.917866017699</v>
      </c>
      <c r="M80" s="120">
        <f t="shared" si="29"/>
        <v>3344.0270446778759</v>
      </c>
      <c r="N80" s="120">
        <f t="shared" si="29"/>
        <v>3377.4673151246548</v>
      </c>
      <c r="O80" s="120">
        <f t="shared" si="29"/>
        <v>3411.2419882759023</v>
      </c>
      <c r="P80" s="120">
        <f t="shared" si="29"/>
        <v>3445.354408158661</v>
      </c>
      <c r="Q80" s="120"/>
      <c r="R80" s="50"/>
      <c r="S80" s="50"/>
      <c r="T80" s="50"/>
      <c r="U80" s="50"/>
      <c r="V80" s="50"/>
      <c r="W80" s="50"/>
      <c r="X80" s="50"/>
      <c r="Y80" s="50"/>
      <c r="Z80" s="50"/>
    </row>
    <row r="81" spans="1:26" ht="15.75" customHeight="1" x14ac:dyDescent="0.35">
      <c r="A81" s="50"/>
      <c r="B81" s="53" t="s">
        <v>158</v>
      </c>
      <c r="C81" s="63" t="s">
        <v>325</v>
      </c>
      <c r="D81" s="120">
        <f t="shared" ref="D81:P81" si="30">D49*D65</f>
        <v>3088</v>
      </c>
      <c r="E81" s="120">
        <f t="shared" si="30"/>
        <v>3103.44</v>
      </c>
      <c r="F81" s="120">
        <f t="shared" si="30"/>
        <v>3119.0344</v>
      </c>
      <c r="G81" s="120">
        <f t="shared" si="30"/>
        <v>3150.2247440000001</v>
      </c>
      <c r="H81" s="120">
        <f t="shared" si="30"/>
        <v>3181.7269914399999</v>
      </c>
      <c r="I81" s="120">
        <f t="shared" si="30"/>
        <v>3213.5442613544001</v>
      </c>
      <c r="J81" s="120">
        <f t="shared" si="30"/>
        <v>3245.6797039679441</v>
      </c>
      <c r="K81" s="120">
        <f t="shared" si="30"/>
        <v>3278.1365010076233</v>
      </c>
      <c r="L81" s="120">
        <f t="shared" si="30"/>
        <v>3310.917866017699</v>
      </c>
      <c r="M81" s="120">
        <f t="shared" si="30"/>
        <v>3344.0270446778759</v>
      </c>
      <c r="N81" s="120">
        <f t="shared" si="30"/>
        <v>3377.4673151246548</v>
      </c>
      <c r="O81" s="120">
        <f t="shared" si="30"/>
        <v>3411.2419882759023</v>
      </c>
      <c r="P81" s="120">
        <f t="shared" si="30"/>
        <v>3445.354408158661</v>
      </c>
      <c r="Q81" s="120"/>
      <c r="R81" s="50"/>
      <c r="S81" s="50"/>
      <c r="T81" s="50"/>
      <c r="U81" s="50"/>
      <c r="V81" s="50"/>
      <c r="W81" s="50"/>
      <c r="X81" s="50"/>
      <c r="Y81" s="50"/>
      <c r="Z81" s="50"/>
    </row>
    <row r="82" spans="1:26" ht="15.75" customHeight="1" x14ac:dyDescent="0.35">
      <c r="A82" s="50"/>
      <c r="B82" s="301" t="s">
        <v>200</v>
      </c>
      <c r="C82" s="63" t="s">
        <v>325</v>
      </c>
      <c r="D82" s="118">
        <f t="shared" ref="D82:P82" si="31">SUM(D68:D81)</f>
        <v>40908</v>
      </c>
      <c r="E82" s="118">
        <f t="shared" si="31"/>
        <v>41112.54</v>
      </c>
      <c r="F82" s="118">
        <f t="shared" si="31"/>
        <v>41319.12539999999</v>
      </c>
      <c r="G82" s="118">
        <f t="shared" si="31"/>
        <v>41732.316653999995</v>
      </c>
      <c r="H82" s="118">
        <f t="shared" si="31"/>
        <v>42149.639820539996</v>
      </c>
      <c r="I82" s="118">
        <f t="shared" si="31"/>
        <v>42571.1362187454</v>
      </c>
      <c r="J82" s="118">
        <f t="shared" si="31"/>
        <v>42996.847580932852</v>
      </c>
      <c r="K82" s="118">
        <f t="shared" si="31"/>
        <v>43426.816056742187</v>
      </c>
      <c r="L82" s="118">
        <f t="shared" si="31"/>
        <v>43861.084217309595</v>
      </c>
      <c r="M82" s="118">
        <f t="shared" si="31"/>
        <v>44299.695059482678</v>
      </c>
      <c r="N82" s="118">
        <f t="shared" si="31"/>
        <v>44742.69201007751</v>
      </c>
      <c r="O82" s="118">
        <f t="shared" si="31"/>
        <v>45190.118930178302</v>
      </c>
      <c r="P82" s="118">
        <f t="shared" si="31"/>
        <v>45642.020119480083</v>
      </c>
      <c r="Q82" s="118"/>
      <c r="R82" s="50"/>
      <c r="S82" s="50"/>
      <c r="T82" s="50"/>
      <c r="U82" s="50"/>
      <c r="V82" s="50"/>
      <c r="W82" s="50"/>
      <c r="X82" s="50"/>
      <c r="Y82" s="50"/>
      <c r="Z82" s="50"/>
    </row>
    <row r="83" spans="1:26" ht="15.75" customHeight="1" x14ac:dyDescent="0.35">
      <c r="A83" s="237"/>
      <c r="B83" s="46" t="s">
        <v>339</v>
      </c>
      <c r="C83" s="302" t="s">
        <v>202</v>
      </c>
      <c r="D83" s="240">
        <f>D19</f>
        <v>48</v>
      </c>
      <c r="E83" s="240">
        <f>D19</f>
        <v>48</v>
      </c>
      <c r="F83" s="240">
        <f>D20</f>
        <v>48</v>
      </c>
      <c r="G83" s="240">
        <f>D21</f>
        <v>48</v>
      </c>
      <c r="H83" s="240">
        <f>D22</f>
        <v>48</v>
      </c>
      <c r="I83" s="240">
        <f>D23</f>
        <v>48</v>
      </c>
      <c r="J83" s="240">
        <f>D24</f>
        <v>48</v>
      </c>
      <c r="K83" s="240">
        <f>D25</f>
        <v>48</v>
      </c>
      <c r="L83" s="240">
        <f>D26</f>
        <v>217</v>
      </c>
      <c r="M83" s="240">
        <f>D27</f>
        <v>217</v>
      </c>
      <c r="N83" s="240">
        <f>D28</f>
        <v>200</v>
      </c>
      <c r="O83" s="240">
        <f>D29</f>
        <v>193</v>
      </c>
      <c r="P83" s="241">
        <f>D30</f>
        <v>175</v>
      </c>
      <c r="Q83" s="237"/>
      <c r="R83" s="237"/>
      <c r="S83" s="237"/>
      <c r="T83" s="237"/>
      <c r="U83" s="237"/>
      <c r="V83" s="237"/>
      <c r="W83" s="237"/>
      <c r="X83" s="237"/>
      <c r="Y83" s="237"/>
      <c r="Z83" s="237"/>
    </row>
    <row r="84" spans="1:26" ht="15.75" customHeight="1" x14ac:dyDescent="0.35">
      <c r="A84" s="237"/>
      <c r="B84" s="46" t="s">
        <v>340</v>
      </c>
      <c r="C84" s="302" t="s">
        <v>202</v>
      </c>
      <c r="D84" s="118">
        <f t="shared" ref="D84:P84" si="32">D82/1000*D83</f>
        <v>1963.5840000000001</v>
      </c>
      <c r="E84" s="118">
        <f t="shared" si="32"/>
        <v>1973.4019200000002</v>
      </c>
      <c r="F84" s="118">
        <f t="shared" si="32"/>
        <v>1983.3180191999995</v>
      </c>
      <c r="G84" s="118">
        <f t="shared" si="32"/>
        <v>2003.1511993919999</v>
      </c>
      <c r="H84" s="118">
        <f t="shared" si="32"/>
        <v>2023.1827113859199</v>
      </c>
      <c r="I84" s="118">
        <f t="shared" si="32"/>
        <v>2043.4145384997792</v>
      </c>
      <c r="J84" s="118">
        <f t="shared" si="32"/>
        <v>2063.8486838847766</v>
      </c>
      <c r="K84" s="118">
        <f t="shared" si="32"/>
        <v>2084.4871707236252</v>
      </c>
      <c r="L84" s="118">
        <f t="shared" si="32"/>
        <v>9517.855275156182</v>
      </c>
      <c r="M84" s="118">
        <f t="shared" si="32"/>
        <v>9613.0338279077423</v>
      </c>
      <c r="N84" s="118">
        <f t="shared" si="32"/>
        <v>8948.5384020155016</v>
      </c>
      <c r="O84" s="118">
        <f t="shared" si="32"/>
        <v>8721.6929535244126</v>
      </c>
      <c r="P84" s="119">
        <f t="shared" si="32"/>
        <v>7987.3535209090142</v>
      </c>
      <c r="Q84" s="237"/>
      <c r="R84" s="237"/>
      <c r="S84" s="237"/>
      <c r="T84" s="237"/>
      <c r="U84" s="237"/>
      <c r="V84" s="237"/>
      <c r="W84" s="237"/>
      <c r="X84" s="237"/>
      <c r="Y84" s="237"/>
      <c r="Z84" s="237"/>
    </row>
    <row r="85" spans="1:26" ht="15.75" customHeight="1" x14ac:dyDescent="0.35">
      <c r="A85" s="50"/>
      <c r="B85" s="131" t="s">
        <v>137</v>
      </c>
      <c r="C85" s="303" t="s">
        <v>138</v>
      </c>
      <c r="D85" s="133">
        <f t="array" ref="D85">NPV(D31,D84:P84)</f>
        <v>39370.238929380459</v>
      </c>
      <c r="E85" s="134"/>
      <c r="F85" s="134"/>
      <c r="G85" s="134"/>
      <c r="H85" s="134"/>
      <c r="I85" s="134"/>
      <c r="J85" s="134"/>
      <c r="K85" s="134"/>
      <c r="L85" s="134"/>
      <c r="M85" s="134"/>
      <c r="N85" s="134"/>
      <c r="O85" s="134"/>
      <c r="P85" s="136"/>
      <c r="Q85" s="50"/>
      <c r="R85" s="50"/>
      <c r="S85" s="50"/>
      <c r="T85" s="50"/>
      <c r="U85" s="50"/>
      <c r="V85" s="50"/>
      <c r="W85" s="50"/>
      <c r="X85" s="50"/>
      <c r="Y85" s="50"/>
      <c r="Z85" s="50"/>
    </row>
    <row r="86" spans="1:26" ht="15.75" customHeight="1" x14ac:dyDescent="0.35">
      <c r="A86" s="50"/>
      <c r="B86" s="50"/>
      <c r="C86" s="63"/>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x14ac:dyDescent="0.35">
      <c r="A87" s="50"/>
      <c r="B87" s="202"/>
      <c r="C87" s="63"/>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35">
      <c r="A88" s="50"/>
      <c r="B88" s="307"/>
      <c r="C88" s="63"/>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35">
      <c r="A89" s="50"/>
      <c r="B89" s="307"/>
      <c r="C89" s="63"/>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35">
      <c r="A90" s="50"/>
      <c r="B90" s="307"/>
      <c r="C90" s="63"/>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35">
      <c r="A91" s="50"/>
      <c r="B91" s="307"/>
      <c r="C91" s="63"/>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35">
      <c r="A92" s="50"/>
      <c r="B92" s="307"/>
      <c r="C92" s="63"/>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35">
      <c r="A93" s="50"/>
      <c r="B93" s="50"/>
      <c r="C93" s="63"/>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35">
      <c r="A94" s="50"/>
      <c r="B94" s="50"/>
      <c r="C94" s="63"/>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35">
      <c r="A95" s="50"/>
      <c r="B95" s="50"/>
      <c r="C95" s="63"/>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35">
      <c r="A96" s="50"/>
      <c r="B96" s="304"/>
      <c r="C96" s="63"/>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35">
      <c r="A97" s="50"/>
      <c r="B97" s="50"/>
      <c r="C97" s="63"/>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35">
      <c r="A98" s="50"/>
      <c r="B98" s="50"/>
      <c r="C98" s="63"/>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35">
      <c r="A99" s="50"/>
      <c r="B99" s="50"/>
      <c r="C99" s="63"/>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35">
      <c r="A100" s="50"/>
      <c r="B100" s="50"/>
      <c r="C100" s="63"/>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35">
      <c r="A101" s="50"/>
      <c r="B101" s="50"/>
      <c r="C101" s="63"/>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35">
      <c r="A102" s="50"/>
      <c r="B102" s="50"/>
      <c r="C102" s="63"/>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35">
      <c r="A103" s="50"/>
      <c r="B103" s="50"/>
      <c r="C103" s="63"/>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35">
      <c r="A104" s="50"/>
      <c r="B104" s="50"/>
      <c r="C104" s="63"/>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35">
      <c r="A105" s="50"/>
      <c r="B105" s="50"/>
      <c r="C105" s="63"/>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35">
      <c r="A106" s="50"/>
      <c r="B106" s="50"/>
      <c r="C106" s="63"/>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35">
      <c r="A107" s="50"/>
      <c r="B107" s="50"/>
      <c r="C107" s="63"/>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35">
      <c r="A108" s="50"/>
      <c r="B108" s="50"/>
      <c r="C108" s="63"/>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35">
      <c r="A109" s="50"/>
      <c r="B109" s="50"/>
      <c r="C109" s="63"/>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35">
      <c r="A110" s="50"/>
      <c r="B110" s="50"/>
      <c r="C110" s="63"/>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35">
      <c r="A111" s="50"/>
      <c r="B111" s="50"/>
      <c r="C111" s="63"/>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35">
      <c r="A112" s="50"/>
      <c r="B112" s="50"/>
      <c r="C112" s="63"/>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35">
      <c r="A113" s="50"/>
      <c r="B113" s="50"/>
      <c r="C113" s="63"/>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50"/>
      <c r="C114" s="63"/>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63"/>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63"/>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63"/>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63"/>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63"/>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63"/>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63"/>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63"/>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63"/>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63"/>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63"/>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63"/>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63"/>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63"/>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63"/>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63"/>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63"/>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63"/>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63"/>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63"/>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63"/>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63"/>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63"/>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63"/>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63"/>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63"/>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63"/>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63"/>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63"/>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63"/>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63"/>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63"/>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63"/>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63"/>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63"/>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63"/>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63"/>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63"/>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63"/>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63"/>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63"/>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63"/>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63"/>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63"/>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63"/>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63"/>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63"/>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63"/>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63"/>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63"/>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63"/>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63"/>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63"/>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63"/>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63"/>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63"/>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63"/>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63"/>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63"/>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63"/>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63"/>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63"/>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63"/>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63"/>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63"/>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63"/>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308"/>
      <c r="B228" s="308"/>
      <c r="C228" s="309"/>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5.75" customHeight="1" x14ac:dyDescent="0.35">
      <c r="A229" s="308"/>
      <c r="B229" s="308"/>
      <c r="C229" s="309"/>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5.75" customHeight="1" x14ac:dyDescent="0.35">
      <c r="A230" s="308"/>
      <c r="B230" s="308"/>
      <c r="C230" s="309"/>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5.75" customHeight="1" x14ac:dyDescent="0.35">
      <c r="A231" s="308"/>
      <c r="B231" s="308"/>
      <c r="C231" s="309"/>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5.75" customHeight="1" x14ac:dyDescent="0.35">
      <c r="A232" s="308"/>
      <c r="B232" s="308"/>
      <c r="C232" s="309"/>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5.75" customHeight="1" x14ac:dyDescent="0.35">
      <c r="A233" s="308"/>
      <c r="B233" s="308"/>
      <c r="C233" s="309"/>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5.75" customHeight="1" x14ac:dyDescent="0.35">
      <c r="A234" s="308"/>
      <c r="B234" s="308"/>
      <c r="C234" s="309"/>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5.75" customHeight="1" x14ac:dyDescent="0.35">
      <c r="A235" s="308"/>
      <c r="B235" s="308"/>
      <c r="C235" s="309"/>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5.75" customHeight="1" x14ac:dyDescent="0.35">
      <c r="A236" s="308"/>
      <c r="B236" s="308"/>
      <c r="C236" s="309"/>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5.75" customHeight="1" x14ac:dyDescent="0.35">
      <c r="A237" s="308"/>
      <c r="B237" s="308"/>
      <c r="C237" s="309"/>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5.75" customHeight="1" x14ac:dyDescent="0.35">
      <c r="A238" s="308"/>
      <c r="B238" s="308"/>
      <c r="C238" s="309"/>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5.75" customHeight="1" x14ac:dyDescent="0.35">
      <c r="A239" s="308"/>
      <c r="B239" s="308"/>
      <c r="C239" s="309"/>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5.75" customHeight="1" x14ac:dyDescent="0.35">
      <c r="A240" s="308"/>
      <c r="B240" s="308"/>
      <c r="C240" s="309"/>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5.75" customHeight="1" x14ac:dyDescent="0.35">
      <c r="A241" s="308"/>
      <c r="B241" s="308"/>
      <c r="C241" s="309"/>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5.75" customHeight="1" x14ac:dyDescent="0.35">
      <c r="A242" s="308"/>
      <c r="B242" s="308"/>
      <c r="C242" s="309"/>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5.75" customHeight="1" x14ac:dyDescent="0.35">
      <c r="A243" s="308"/>
      <c r="B243" s="308"/>
      <c r="C243" s="309"/>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5.75" customHeight="1" x14ac:dyDescent="0.35">
      <c r="A244" s="308"/>
      <c r="B244" s="308"/>
      <c r="C244" s="309"/>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5.75" customHeight="1" x14ac:dyDescent="0.35">
      <c r="A245" s="308"/>
      <c r="B245" s="308"/>
      <c r="C245" s="309"/>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5.75" customHeight="1" x14ac:dyDescent="0.35">
      <c r="A246" s="308"/>
      <c r="B246" s="308"/>
      <c r="C246" s="309"/>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5.75" customHeight="1" x14ac:dyDescent="0.35">
      <c r="A247" s="308"/>
      <c r="B247" s="308"/>
      <c r="C247" s="309"/>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5.75" customHeight="1" x14ac:dyDescent="0.35">
      <c r="A248" s="308"/>
      <c r="B248" s="308"/>
      <c r="C248" s="309"/>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5.75" customHeight="1" x14ac:dyDescent="0.35">
      <c r="A249" s="308"/>
      <c r="B249" s="308"/>
      <c r="C249" s="309"/>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5.75" customHeight="1" x14ac:dyDescent="0.35">
      <c r="A250" s="308"/>
      <c r="B250" s="308"/>
      <c r="C250" s="309"/>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5.75" customHeight="1" x14ac:dyDescent="0.35">
      <c r="A251" s="308"/>
      <c r="B251" s="308"/>
      <c r="C251" s="309"/>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5.75" customHeight="1" x14ac:dyDescent="0.35">
      <c r="A252" s="308"/>
      <c r="B252" s="308"/>
      <c r="C252" s="309"/>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5.75" customHeight="1" x14ac:dyDescent="0.35">
      <c r="A253" s="308"/>
      <c r="B253" s="308"/>
      <c r="C253" s="309"/>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5.75" customHeight="1" x14ac:dyDescent="0.35">
      <c r="A254" s="308"/>
      <c r="B254" s="308"/>
      <c r="C254" s="309"/>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5.75" customHeight="1" x14ac:dyDescent="0.35">
      <c r="A255" s="308"/>
      <c r="B255" s="308"/>
      <c r="C255" s="309"/>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5.75" customHeight="1" x14ac:dyDescent="0.35">
      <c r="A256" s="308"/>
      <c r="B256" s="308"/>
      <c r="C256" s="309"/>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5.75" customHeight="1" x14ac:dyDescent="0.35">
      <c r="A257" s="308"/>
      <c r="B257" s="308"/>
      <c r="C257" s="309"/>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5.75" customHeight="1" x14ac:dyDescent="0.35">
      <c r="A258" s="308"/>
      <c r="B258" s="308"/>
      <c r="C258" s="309"/>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5.75" customHeight="1" x14ac:dyDescent="0.35">
      <c r="A259" s="308"/>
      <c r="B259" s="308"/>
      <c r="C259" s="309"/>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5.75" customHeight="1" x14ac:dyDescent="0.35">
      <c r="A260" s="308"/>
      <c r="B260" s="308"/>
      <c r="C260" s="309"/>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5.75" customHeight="1" x14ac:dyDescent="0.35">
      <c r="A261" s="308"/>
      <c r="B261" s="308"/>
      <c r="C261" s="309"/>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5.75" customHeight="1" x14ac:dyDescent="0.35">
      <c r="A262" s="308"/>
      <c r="B262" s="308"/>
      <c r="C262" s="309"/>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5.75" customHeight="1" x14ac:dyDescent="0.35">
      <c r="A263" s="308"/>
      <c r="B263" s="308"/>
      <c r="C263" s="309"/>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5.75" customHeight="1" x14ac:dyDescent="0.35">
      <c r="A264" s="308"/>
      <c r="B264" s="308"/>
      <c r="C264" s="309"/>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5.75" customHeight="1" x14ac:dyDescent="0.35">
      <c r="A265" s="308"/>
      <c r="B265" s="308"/>
      <c r="C265" s="309"/>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5.75" customHeight="1" x14ac:dyDescent="0.35">
      <c r="A266" s="308"/>
      <c r="B266" s="308"/>
      <c r="C266" s="309"/>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5.75" customHeight="1" x14ac:dyDescent="0.35">
      <c r="A267" s="308"/>
      <c r="B267" s="308"/>
      <c r="C267" s="309"/>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5.75" customHeight="1" x14ac:dyDescent="0.35">
      <c r="A268" s="308"/>
      <c r="B268" s="308"/>
      <c r="C268" s="309"/>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5.75" customHeight="1" x14ac:dyDescent="0.35">
      <c r="A269" s="308"/>
      <c r="B269" s="308"/>
      <c r="C269" s="309"/>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5.75" customHeight="1" x14ac:dyDescent="0.35">
      <c r="A270" s="308"/>
      <c r="B270" s="308"/>
      <c r="C270" s="309"/>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5.75" customHeight="1" x14ac:dyDescent="0.35">
      <c r="A271" s="308"/>
      <c r="B271" s="308"/>
      <c r="C271" s="309"/>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5.75" customHeight="1" x14ac:dyDescent="0.35">
      <c r="A272" s="308"/>
      <c r="B272" s="308"/>
      <c r="C272" s="309"/>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5.75" customHeight="1" x14ac:dyDescent="0.35">
      <c r="A273" s="308"/>
      <c r="B273" s="308"/>
      <c r="C273" s="309"/>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5.75" customHeight="1" x14ac:dyDescent="0.35">
      <c r="A274" s="308"/>
      <c r="B274" s="308"/>
      <c r="C274" s="309"/>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5.75" customHeight="1" x14ac:dyDescent="0.35">
      <c r="A275" s="308"/>
      <c r="B275" s="308"/>
      <c r="C275" s="309"/>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5.75" customHeight="1" x14ac:dyDescent="0.35">
      <c r="A276" s="308"/>
      <c r="B276" s="308"/>
      <c r="C276" s="309"/>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5.75" customHeight="1" x14ac:dyDescent="0.35">
      <c r="A277" s="308"/>
      <c r="B277" s="308"/>
      <c r="C277" s="309"/>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5.75" customHeight="1" x14ac:dyDescent="0.35">
      <c r="A278" s="308"/>
      <c r="B278" s="308"/>
      <c r="C278" s="309"/>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5.75" customHeight="1" x14ac:dyDescent="0.35">
      <c r="A279" s="308"/>
      <c r="B279" s="308"/>
      <c r="C279" s="309"/>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5.75" customHeight="1" x14ac:dyDescent="0.35">
      <c r="A280" s="308"/>
      <c r="B280" s="308"/>
      <c r="C280" s="309"/>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5.75" customHeight="1" x14ac:dyDescent="0.35">
      <c r="A281" s="308"/>
      <c r="B281" s="308"/>
      <c r="C281" s="309"/>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5.75" customHeight="1" x14ac:dyDescent="0.35">
      <c r="A282" s="308"/>
      <c r="B282" s="308"/>
      <c r="C282" s="309"/>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5.75" customHeight="1" x14ac:dyDescent="0.35">
      <c r="A283" s="308"/>
      <c r="B283" s="308"/>
      <c r="C283" s="309"/>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5.75" customHeight="1" x14ac:dyDescent="0.35">
      <c r="A284" s="308"/>
      <c r="B284" s="308"/>
      <c r="C284" s="309"/>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5.75" customHeight="1" x14ac:dyDescent="0.35">
      <c r="A285" s="308"/>
      <c r="B285" s="308"/>
      <c r="C285" s="309"/>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5.75" customHeight="1" x14ac:dyDescent="0.3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5.75" customHeight="1" x14ac:dyDescent="0.3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5.75" customHeight="1" x14ac:dyDescent="0.3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5.75" customHeight="1" x14ac:dyDescent="0.3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5.75" customHeight="1" x14ac:dyDescent="0.3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5.75" customHeight="1" x14ac:dyDescent="0.3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5.75" customHeight="1" x14ac:dyDescent="0.3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5.75" customHeight="1" x14ac:dyDescent="0.3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5.75" customHeight="1" x14ac:dyDescent="0.3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5.75" customHeight="1" x14ac:dyDescent="0.3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5.75" customHeight="1" x14ac:dyDescent="0.3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5.75" customHeight="1" x14ac:dyDescent="0.3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5.75" customHeight="1" x14ac:dyDescent="0.3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5.75" customHeight="1" x14ac:dyDescent="0.3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5.75" customHeight="1" x14ac:dyDescent="0.3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5.75" customHeight="1" x14ac:dyDescent="0.3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5.75" customHeight="1" x14ac:dyDescent="0.3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5.75" customHeight="1" x14ac:dyDescent="0.3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5.75" customHeight="1" x14ac:dyDescent="0.3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5.75" customHeight="1" x14ac:dyDescent="0.3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5.75" customHeight="1" x14ac:dyDescent="0.3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5.75" customHeight="1" x14ac:dyDescent="0.3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5.75" customHeight="1" x14ac:dyDescent="0.3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5.75" customHeight="1" x14ac:dyDescent="0.3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5.75" customHeight="1" x14ac:dyDescent="0.3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5.75" customHeight="1" x14ac:dyDescent="0.3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5.75" customHeight="1" x14ac:dyDescent="0.3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5.75" customHeight="1" x14ac:dyDescent="0.3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5.75" customHeight="1" x14ac:dyDescent="0.3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5.75" customHeight="1" x14ac:dyDescent="0.3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5.75" customHeight="1" x14ac:dyDescent="0.3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5.75" customHeight="1" x14ac:dyDescent="0.3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5.75" customHeight="1" x14ac:dyDescent="0.3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5.75" customHeight="1" x14ac:dyDescent="0.3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5.75" customHeight="1" x14ac:dyDescent="0.3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5.75" customHeight="1" x14ac:dyDescent="0.3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5.75" customHeight="1" x14ac:dyDescent="0.3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5.75" customHeight="1" x14ac:dyDescent="0.3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5.75" customHeight="1" x14ac:dyDescent="0.3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5.75" customHeight="1" x14ac:dyDescent="0.3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5.75" customHeight="1" x14ac:dyDescent="0.3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5.75" customHeight="1" x14ac:dyDescent="0.3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5.75" customHeight="1" x14ac:dyDescent="0.3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5.75" customHeight="1" x14ac:dyDescent="0.3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5.75" customHeight="1" x14ac:dyDescent="0.3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5.75" customHeight="1" x14ac:dyDescent="0.3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5.75" customHeight="1" x14ac:dyDescent="0.3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5.75" customHeight="1" x14ac:dyDescent="0.3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5.75" customHeight="1" x14ac:dyDescent="0.3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5.75" customHeight="1" x14ac:dyDescent="0.3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5.75" customHeight="1" x14ac:dyDescent="0.3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5.75" customHeight="1" x14ac:dyDescent="0.3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5.75" customHeight="1" x14ac:dyDescent="0.3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5.75" customHeight="1" x14ac:dyDescent="0.3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5.75" customHeight="1" x14ac:dyDescent="0.3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5.75" customHeight="1" x14ac:dyDescent="0.3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5.75" customHeight="1" x14ac:dyDescent="0.3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5.75" customHeight="1" x14ac:dyDescent="0.3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5.75" customHeight="1" x14ac:dyDescent="0.3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5.75" customHeight="1" x14ac:dyDescent="0.3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5.75" customHeight="1" x14ac:dyDescent="0.3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5.75" customHeight="1" x14ac:dyDescent="0.3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5.75" customHeight="1" x14ac:dyDescent="0.3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5.75" customHeight="1" x14ac:dyDescent="0.3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5.75" customHeight="1" x14ac:dyDescent="0.3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5.75" customHeight="1" x14ac:dyDescent="0.3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5.75" customHeight="1" x14ac:dyDescent="0.3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5.75" customHeight="1" x14ac:dyDescent="0.3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5.75" customHeight="1" x14ac:dyDescent="0.3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5.75" customHeight="1" x14ac:dyDescent="0.3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5.75" customHeight="1" x14ac:dyDescent="0.3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5.75" customHeight="1" x14ac:dyDescent="0.3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5.75" customHeight="1" x14ac:dyDescent="0.3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5.75" customHeight="1" x14ac:dyDescent="0.3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5.75" customHeight="1" x14ac:dyDescent="0.3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5.75" customHeight="1" x14ac:dyDescent="0.3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5.75" customHeight="1" x14ac:dyDescent="0.3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5.75" customHeight="1" x14ac:dyDescent="0.3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5.75" customHeight="1" x14ac:dyDescent="0.3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5.75" customHeight="1" x14ac:dyDescent="0.3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5.75" customHeight="1" x14ac:dyDescent="0.3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5.75" customHeight="1" x14ac:dyDescent="0.3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5.75" customHeight="1" x14ac:dyDescent="0.3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5.75" customHeight="1" x14ac:dyDescent="0.3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5.75" customHeight="1" x14ac:dyDescent="0.3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5.75" customHeight="1" x14ac:dyDescent="0.3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5.75" customHeight="1" x14ac:dyDescent="0.3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5.75" customHeight="1" x14ac:dyDescent="0.3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5.75" customHeight="1" x14ac:dyDescent="0.3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5.75" customHeight="1" x14ac:dyDescent="0.3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5.75" customHeight="1" x14ac:dyDescent="0.3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5.75" customHeight="1" x14ac:dyDescent="0.3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5.75" customHeight="1" x14ac:dyDescent="0.3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5.75" customHeight="1" x14ac:dyDescent="0.3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5.75" customHeight="1" x14ac:dyDescent="0.3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5.75" customHeight="1" x14ac:dyDescent="0.3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5.75" customHeight="1" x14ac:dyDescent="0.3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5.75" customHeight="1" x14ac:dyDescent="0.3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5.75" customHeight="1" x14ac:dyDescent="0.3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5.75" customHeight="1" x14ac:dyDescent="0.3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5.75" customHeight="1" x14ac:dyDescent="0.3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5.75" customHeight="1" x14ac:dyDescent="0.3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5.75" customHeight="1" x14ac:dyDescent="0.3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5.75" customHeight="1" x14ac:dyDescent="0.3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5.75" customHeight="1" x14ac:dyDescent="0.3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5.75" customHeight="1" x14ac:dyDescent="0.3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5.75" customHeight="1" x14ac:dyDescent="0.3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5.75" customHeight="1" x14ac:dyDescent="0.3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5.75" customHeight="1" x14ac:dyDescent="0.3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5.75" customHeight="1" x14ac:dyDescent="0.3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5.75" customHeight="1" x14ac:dyDescent="0.3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5.75" customHeight="1" x14ac:dyDescent="0.3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5.75" customHeight="1" x14ac:dyDescent="0.3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5.75" customHeight="1" x14ac:dyDescent="0.3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5.75" customHeight="1" x14ac:dyDescent="0.3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5.75" customHeight="1" x14ac:dyDescent="0.3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5.75" customHeight="1" x14ac:dyDescent="0.3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5.75" customHeight="1" x14ac:dyDescent="0.3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5.75" customHeight="1" x14ac:dyDescent="0.3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5.75" customHeight="1" x14ac:dyDescent="0.3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5.75" customHeight="1" x14ac:dyDescent="0.3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5.75" customHeight="1" x14ac:dyDescent="0.3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5.75" customHeight="1" x14ac:dyDescent="0.3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5.75" customHeight="1" x14ac:dyDescent="0.3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5.75" customHeight="1" x14ac:dyDescent="0.3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5.75" customHeight="1" x14ac:dyDescent="0.3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5.75" customHeight="1" x14ac:dyDescent="0.3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5.75" customHeight="1" x14ac:dyDescent="0.3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5.75" customHeight="1" x14ac:dyDescent="0.3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5.75" customHeight="1" x14ac:dyDescent="0.3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5.75" customHeight="1" x14ac:dyDescent="0.3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5.75" customHeight="1" x14ac:dyDescent="0.3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5.75" customHeight="1" x14ac:dyDescent="0.3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5.75" customHeight="1" x14ac:dyDescent="0.3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5.75" customHeight="1" x14ac:dyDescent="0.3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5.75" customHeight="1" x14ac:dyDescent="0.3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5.75" customHeight="1" x14ac:dyDescent="0.3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5.75" customHeight="1" x14ac:dyDescent="0.3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5.75" customHeight="1" x14ac:dyDescent="0.3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5.75" customHeight="1" x14ac:dyDescent="0.3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5.75" customHeight="1" x14ac:dyDescent="0.3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5.75" customHeight="1" x14ac:dyDescent="0.3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5.75" customHeight="1" x14ac:dyDescent="0.3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5.75" customHeight="1" x14ac:dyDescent="0.3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5.75" customHeight="1" x14ac:dyDescent="0.3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5.75" customHeight="1" x14ac:dyDescent="0.3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5.75" customHeight="1" x14ac:dyDescent="0.3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5.75" customHeight="1" x14ac:dyDescent="0.3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5.75" customHeight="1" x14ac:dyDescent="0.3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5.75" customHeight="1" x14ac:dyDescent="0.3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5.75" customHeight="1" x14ac:dyDescent="0.3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5.75" customHeight="1" x14ac:dyDescent="0.3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5.75" customHeight="1" x14ac:dyDescent="0.3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5.75" customHeight="1" x14ac:dyDescent="0.3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5.75" customHeight="1" x14ac:dyDescent="0.3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5.75" customHeight="1" x14ac:dyDescent="0.3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5.75" customHeight="1" x14ac:dyDescent="0.3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5.75" customHeight="1" x14ac:dyDescent="0.3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5.75" customHeight="1" x14ac:dyDescent="0.3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5.75" customHeight="1" x14ac:dyDescent="0.3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5.75" customHeight="1" x14ac:dyDescent="0.3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5.75" customHeight="1" x14ac:dyDescent="0.3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5.75" customHeight="1" x14ac:dyDescent="0.3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5.75" customHeight="1" x14ac:dyDescent="0.3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5.75" customHeight="1" x14ac:dyDescent="0.3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5.75" customHeight="1" x14ac:dyDescent="0.3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5.75" customHeight="1" x14ac:dyDescent="0.3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5.75" customHeight="1" x14ac:dyDescent="0.3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5.75" customHeight="1" x14ac:dyDescent="0.3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5.75" customHeight="1" x14ac:dyDescent="0.3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5.75" customHeight="1" x14ac:dyDescent="0.3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5.75" customHeight="1" x14ac:dyDescent="0.3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5.75" customHeight="1" x14ac:dyDescent="0.3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5.75" customHeight="1" x14ac:dyDescent="0.3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5.75" customHeight="1" x14ac:dyDescent="0.3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5.75" customHeight="1" x14ac:dyDescent="0.3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5.75" customHeight="1" x14ac:dyDescent="0.3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5.75" customHeight="1" x14ac:dyDescent="0.3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5.75" customHeight="1" x14ac:dyDescent="0.3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5.75" customHeight="1" x14ac:dyDescent="0.3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5.75" customHeight="1" x14ac:dyDescent="0.3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5.75" customHeight="1" x14ac:dyDescent="0.3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5.75" customHeight="1" x14ac:dyDescent="0.3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5.75" customHeight="1" x14ac:dyDescent="0.3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5.75" customHeight="1" x14ac:dyDescent="0.3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5.75" customHeight="1" x14ac:dyDescent="0.3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5.75" customHeight="1" x14ac:dyDescent="0.3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5.75" customHeight="1" x14ac:dyDescent="0.3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5.75" customHeight="1" x14ac:dyDescent="0.3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5.75" customHeight="1" x14ac:dyDescent="0.3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5.75" customHeight="1" x14ac:dyDescent="0.3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5.75" customHeight="1" x14ac:dyDescent="0.3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5.75" customHeight="1" x14ac:dyDescent="0.3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5.75" customHeight="1" x14ac:dyDescent="0.3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5.75" customHeight="1" x14ac:dyDescent="0.3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5.75" customHeight="1" x14ac:dyDescent="0.3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5.75" customHeight="1" x14ac:dyDescent="0.3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5.75" customHeight="1" x14ac:dyDescent="0.3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5.75" customHeight="1" x14ac:dyDescent="0.3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5.75" customHeight="1" x14ac:dyDescent="0.3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5.75" customHeight="1" x14ac:dyDescent="0.3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5.75" customHeight="1" x14ac:dyDescent="0.3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5.75" customHeight="1" x14ac:dyDescent="0.3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5.75" customHeight="1" x14ac:dyDescent="0.3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5.75" customHeight="1" x14ac:dyDescent="0.3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5.75" customHeight="1" x14ac:dyDescent="0.3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5.75" customHeight="1" x14ac:dyDescent="0.3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5.75" customHeight="1" x14ac:dyDescent="0.3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5.75" customHeight="1" x14ac:dyDescent="0.3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5.75" customHeight="1" x14ac:dyDescent="0.3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5.75" customHeight="1" x14ac:dyDescent="0.3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5.75" customHeight="1" x14ac:dyDescent="0.3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5.75" customHeight="1" x14ac:dyDescent="0.3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5.75" customHeight="1" x14ac:dyDescent="0.3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5.75" customHeight="1" x14ac:dyDescent="0.3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5.75" customHeight="1" x14ac:dyDescent="0.3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5.75" customHeight="1" x14ac:dyDescent="0.3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5.75" customHeight="1" x14ac:dyDescent="0.3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5.75" customHeight="1" x14ac:dyDescent="0.3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5.75" customHeight="1" x14ac:dyDescent="0.3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5.75" customHeight="1" x14ac:dyDescent="0.3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5.75" customHeight="1" x14ac:dyDescent="0.3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5.75" customHeight="1" x14ac:dyDescent="0.3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5.75" customHeight="1" x14ac:dyDescent="0.3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5.75" customHeight="1" x14ac:dyDescent="0.3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5.75" customHeight="1" x14ac:dyDescent="0.3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5.75" customHeight="1" x14ac:dyDescent="0.3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5.75" customHeight="1" x14ac:dyDescent="0.3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5.75" customHeight="1" x14ac:dyDescent="0.3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5.75" customHeight="1" x14ac:dyDescent="0.3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5.75" customHeight="1" x14ac:dyDescent="0.3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5.75" customHeight="1" x14ac:dyDescent="0.3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5.75" customHeight="1" x14ac:dyDescent="0.3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5.75" customHeight="1" x14ac:dyDescent="0.3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5.75" customHeight="1" x14ac:dyDescent="0.3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5.75" customHeight="1" x14ac:dyDescent="0.3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5.75" customHeight="1" x14ac:dyDescent="0.3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5.75" customHeight="1" x14ac:dyDescent="0.3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5.75" customHeight="1" x14ac:dyDescent="0.3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5.75" customHeight="1" x14ac:dyDescent="0.3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5.75" customHeight="1" x14ac:dyDescent="0.3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5.75" customHeight="1" x14ac:dyDescent="0.3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5.75" customHeight="1" x14ac:dyDescent="0.3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5.75" customHeight="1" x14ac:dyDescent="0.3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5.75" customHeight="1" x14ac:dyDescent="0.3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5.75" customHeight="1" x14ac:dyDescent="0.3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5.75" customHeight="1" x14ac:dyDescent="0.3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5.75" customHeight="1" x14ac:dyDescent="0.3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5.75" customHeight="1" x14ac:dyDescent="0.3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5.75" customHeight="1" x14ac:dyDescent="0.3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5.75" customHeight="1" x14ac:dyDescent="0.3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5.75" customHeight="1" x14ac:dyDescent="0.3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5.75" customHeight="1" x14ac:dyDescent="0.3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5.75" customHeight="1" x14ac:dyDescent="0.3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5.75" customHeight="1" x14ac:dyDescent="0.3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5.75" customHeight="1" x14ac:dyDescent="0.3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5.75" customHeight="1" x14ac:dyDescent="0.3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5.75" customHeight="1" x14ac:dyDescent="0.3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5.75" customHeight="1" x14ac:dyDescent="0.3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5.75" customHeight="1" x14ac:dyDescent="0.3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5.75" customHeight="1" x14ac:dyDescent="0.3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5.75" customHeight="1" x14ac:dyDescent="0.3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5.75" customHeight="1" x14ac:dyDescent="0.3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5.75" customHeight="1" x14ac:dyDescent="0.3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5.75" customHeight="1" x14ac:dyDescent="0.3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5.75" customHeight="1" x14ac:dyDescent="0.3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5.75" customHeight="1" x14ac:dyDescent="0.3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5.75" customHeight="1" x14ac:dyDescent="0.3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5.75" customHeight="1" x14ac:dyDescent="0.3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5.75" customHeight="1" x14ac:dyDescent="0.3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5.75" customHeight="1" x14ac:dyDescent="0.3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5.75" customHeight="1" x14ac:dyDescent="0.3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5.75" customHeight="1" x14ac:dyDescent="0.3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5.75" customHeight="1" x14ac:dyDescent="0.3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5.75" customHeight="1" x14ac:dyDescent="0.3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5.75" customHeight="1" x14ac:dyDescent="0.3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5.75" customHeight="1" x14ac:dyDescent="0.3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5.75" customHeight="1" x14ac:dyDescent="0.3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5.75" customHeight="1" x14ac:dyDescent="0.3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5.75" customHeight="1" x14ac:dyDescent="0.3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5.75" customHeight="1" x14ac:dyDescent="0.3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5.75" customHeight="1" x14ac:dyDescent="0.3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5.75" customHeight="1" x14ac:dyDescent="0.3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5.75" customHeight="1" x14ac:dyDescent="0.3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5.75" customHeight="1" x14ac:dyDescent="0.3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5.75" customHeight="1" x14ac:dyDescent="0.3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5.75" customHeight="1" x14ac:dyDescent="0.3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5.75" customHeight="1" x14ac:dyDescent="0.3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5.75" customHeight="1" x14ac:dyDescent="0.3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5.75" customHeight="1" x14ac:dyDescent="0.3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5.75" customHeight="1" x14ac:dyDescent="0.3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5.75" customHeight="1" x14ac:dyDescent="0.3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5.75" customHeight="1" x14ac:dyDescent="0.3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5.75" customHeight="1" x14ac:dyDescent="0.3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5.75" customHeight="1" x14ac:dyDescent="0.3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5.75" customHeight="1" x14ac:dyDescent="0.3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5.75" customHeight="1" x14ac:dyDescent="0.3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5.75" customHeight="1" x14ac:dyDescent="0.3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5.75" customHeight="1" x14ac:dyDescent="0.3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5.75" customHeight="1" x14ac:dyDescent="0.3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5.75" customHeight="1" x14ac:dyDescent="0.3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5.75" customHeight="1" x14ac:dyDescent="0.3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5.75" customHeight="1" x14ac:dyDescent="0.3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5.75" customHeight="1" x14ac:dyDescent="0.3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5.75" customHeight="1" x14ac:dyDescent="0.3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5.75" customHeight="1" x14ac:dyDescent="0.3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5.75" customHeight="1" x14ac:dyDescent="0.3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5.75" customHeight="1" x14ac:dyDescent="0.3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5.75" customHeight="1" x14ac:dyDescent="0.3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5.75" customHeight="1" x14ac:dyDescent="0.3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5.75" customHeight="1" x14ac:dyDescent="0.3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5.75" customHeight="1" x14ac:dyDescent="0.3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5.75" customHeight="1" x14ac:dyDescent="0.3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5.75" customHeight="1" x14ac:dyDescent="0.3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5.75" customHeight="1" x14ac:dyDescent="0.3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5.75" customHeight="1" x14ac:dyDescent="0.3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5.75" customHeight="1" x14ac:dyDescent="0.3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5.75" customHeight="1" x14ac:dyDescent="0.3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5.75" customHeight="1" x14ac:dyDescent="0.3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5.75" customHeight="1" x14ac:dyDescent="0.3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5.75" customHeight="1" x14ac:dyDescent="0.3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5.75" customHeight="1" x14ac:dyDescent="0.3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5.75" customHeight="1" x14ac:dyDescent="0.3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5.75" customHeight="1" x14ac:dyDescent="0.3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5.75" customHeight="1" x14ac:dyDescent="0.3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5.75" customHeight="1" x14ac:dyDescent="0.3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5.75" customHeight="1" x14ac:dyDescent="0.3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5.75" customHeight="1" x14ac:dyDescent="0.3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5.75" customHeight="1" x14ac:dyDescent="0.3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5.75" customHeight="1" x14ac:dyDescent="0.3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5.75" customHeight="1" x14ac:dyDescent="0.3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5.75" customHeight="1" x14ac:dyDescent="0.3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5.75" customHeight="1" x14ac:dyDescent="0.3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5.75" customHeight="1" x14ac:dyDescent="0.3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5.75" customHeight="1" x14ac:dyDescent="0.3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5.75" customHeight="1" x14ac:dyDescent="0.3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5.75" customHeight="1" x14ac:dyDescent="0.3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5.75" customHeight="1" x14ac:dyDescent="0.3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5.75" customHeight="1" x14ac:dyDescent="0.3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5.75" customHeight="1" x14ac:dyDescent="0.3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5.75" customHeight="1" x14ac:dyDescent="0.3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5.75" customHeight="1" x14ac:dyDescent="0.3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5.75" customHeight="1" x14ac:dyDescent="0.3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5.75" customHeight="1" x14ac:dyDescent="0.3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5.75" customHeight="1" x14ac:dyDescent="0.3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5.75" customHeight="1" x14ac:dyDescent="0.3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5.75" customHeight="1" x14ac:dyDescent="0.3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5.75" customHeight="1" x14ac:dyDescent="0.3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5.75" customHeight="1" x14ac:dyDescent="0.3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5.75" customHeight="1" x14ac:dyDescent="0.3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5.75" customHeight="1" x14ac:dyDescent="0.3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5.75" customHeight="1" x14ac:dyDescent="0.3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5.75" customHeight="1" x14ac:dyDescent="0.3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5.75" customHeight="1" x14ac:dyDescent="0.3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5.75" customHeight="1" x14ac:dyDescent="0.3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5.75" customHeight="1" x14ac:dyDescent="0.3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5.75" customHeight="1" x14ac:dyDescent="0.3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5.75" customHeight="1" x14ac:dyDescent="0.3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5.75" customHeight="1" x14ac:dyDescent="0.3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5.75" customHeight="1" x14ac:dyDescent="0.3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5.75" customHeight="1" x14ac:dyDescent="0.3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5.75" customHeight="1" x14ac:dyDescent="0.3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5.75" customHeight="1" x14ac:dyDescent="0.3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5.75" customHeight="1" x14ac:dyDescent="0.3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5.75" customHeight="1" x14ac:dyDescent="0.3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5.75" customHeight="1" x14ac:dyDescent="0.3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5.75" customHeight="1" x14ac:dyDescent="0.3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5.75" customHeight="1" x14ac:dyDescent="0.3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5.75" customHeight="1" x14ac:dyDescent="0.3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5.75" customHeight="1" x14ac:dyDescent="0.3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5.75" customHeight="1" x14ac:dyDescent="0.3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5.75" customHeight="1" x14ac:dyDescent="0.3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5.75" customHeight="1" x14ac:dyDescent="0.3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5.75" customHeight="1" x14ac:dyDescent="0.3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5.75" customHeight="1" x14ac:dyDescent="0.3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5.75" customHeight="1" x14ac:dyDescent="0.3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5.75" customHeight="1" x14ac:dyDescent="0.3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5.75" customHeight="1" x14ac:dyDescent="0.3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5.75" customHeight="1" x14ac:dyDescent="0.3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5.75" customHeight="1" x14ac:dyDescent="0.3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5.75" customHeight="1" x14ac:dyDescent="0.3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5.75" customHeight="1" x14ac:dyDescent="0.3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5.75" customHeight="1" x14ac:dyDescent="0.3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5.75" customHeight="1" x14ac:dyDescent="0.3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5.75" customHeight="1" x14ac:dyDescent="0.3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5.75" customHeight="1" x14ac:dyDescent="0.3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5.75" customHeight="1" x14ac:dyDescent="0.3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5.75" customHeight="1" x14ac:dyDescent="0.3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5.75" customHeight="1" x14ac:dyDescent="0.3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5.75" customHeight="1" x14ac:dyDescent="0.3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5.75" customHeight="1" x14ac:dyDescent="0.3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5.75" customHeight="1" x14ac:dyDescent="0.3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5.75" customHeight="1" x14ac:dyDescent="0.3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5.75" customHeight="1" x14ac:dyDescent="0.3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5.75" customHeight="1" x14ac:dyDescent="0.3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5.75" customHeight="1" x14ac:dyDescent="0.3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5.75" customHeight="1" x14ac:dyDescent="0.3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5.75" customHeight="1" x14ac:dyDescent="0.3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5.75" customHeight="1" x14ac:dyDescent="0.3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5.75" customHeight="1" x14ac:dyDescent="0.3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5.75" customHeight="1" x14ac:dyDescent="0.3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5.75" customHeight="1" x14ac:dyDescent="0.3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5.75" customHeight="1" x14ac:dyDescent="0.3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5.75" customHeight="1" x14ac:dyDescent="0.3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5.75" customHeight="1" x14ac:dyDescent="0.3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5.75" customHeight="1" x14ac:dyDescent="0.3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5.75" customHeight="1" x14ac:dyDescent="0.3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5.75" customHeight="1" x14ac:dyDescent="0.3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5.75" customHeight="1" x14ac:dyDescent="0.3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5.75" customHeight="1" x14ac:dyDescent="0.3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5.75" customHeight="1" x14ac:dyDescent="0.3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5.75" customHeight="1" x14ac:dyDescent="0.3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5.75" customHeight="1" x14ac:dyDescent="0.3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5.75" customHeight="1" x14ac:dyDescent="0.3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5.75" customHeight="1" x14ac:dyDescent="0.3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5.75" customHeight="1" x14ac:dyDescent="0.3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5.75" customHeight="1" x14ac:dyDescent="0.3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5.75" customHeight="1" x14ac:dyDescent="0.3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5.75" customHeight="1" x14ac:dyDescent="0.3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5.75" customHeight="1" x14ac:dyDescent="0.3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5.75" customHeight="1" x14ac:dyDescent="0.3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5.75" customHeight="1" x14ac:dyDescent="0.3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5.75" customHeight="1" x14ac:dyDescent="0.3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5.75" customHeight="1" x14ac:dyDescent="0.3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5.75" customHeight="1" x14ac:dyDescent="0.3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5.75" customHeight="1" x14ac:dyDescent="0.3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5.75" customHeight="1" x14ac:dyDescent="0.3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5.75" customHeight="1" x14ac:dyDescent="0.3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5.75" customHeight="1" x14ac:dyDescent="0.3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5.75" customHeight="1" x14ac:dyDescent="0.3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5.75" customHeight="1" x14ac:dyDescent="0.3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5.75" customHeight="1" x14ac:dyDescent="0.3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5.75" customHeight="1" x14ac:dyDescent="0.3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5.75" customHeight="1" x14ac:dyDescent="0.3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5.75" customHeight="1" x14ac:dyDescent="0.3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5.75" customHeight="1" x14ac:dyDescent="0.3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5.75" customHeight="1" x14ac:dyDescent="0.3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5.75" customHeight="1" x14ac:dyDescent="0.3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5.75" customHeight="1" x14ac:dyDescent="0.3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5.75" customHeight="1" x14ac:dyDescent="0.3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5.75" customHeight="1" x14ac:dyDescent="0.3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5.75" customHeight="1" x14ac:dyDescent="0.3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5.75" customHeight="1" x14ac:dyDescent="0.3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5.75" customHeight="1" x14ac:dyDescent="0.3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5.75" customHeight="1" x14ac:dyDescent="0.3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5.75" customHeight="1" x14ac:dyDescent="0.3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5.75" customHeight="1" x14ac:dyDescent="0.3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5.75" customHeight="1" x14ac:dyDescent="0.3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5.75" customHeight="1" x14ac:dyDescent="0.3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5.75" customHeight="1" x14ac:dyDescent="0.3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5.75" customHeight="1" x14ac:dyDescent="0.3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5.75" customHeight="1" x14ac:dyDescent="0.3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5.75" customHeight="1" x14ac:dyDescent="0.3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5.75" customHeight="1" x14ac:dyDescent="0.3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5.75" customHeight="1" x14ac:dyDescent="0.3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5.75" customHeight="1" x14ac:dyDescent="0.3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5.75" customHeight="1" x14ac:dyDescent="0.3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5.75" customHeight="1" x14ac:dyDescent="0.3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5.75" customHeight="1" x14ac:dyDescent="0.3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5.75" customHeight="1" x14ac:dyDescent="0.3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5.75" customHeight="1" x14ac:dyDescent="0.3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5.75" customHeight="1" x14ac:dyDescent="0.3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5.75" customHeight="1" x14ac:dyDescent="0.3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5.75" customHeight="1" x14ac:dyDescent="0.3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5.75" customHeight="1" x14ac:dyDescent="0.3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5.75" customHeight="1" x14ac:dyDescent="0.3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5.75" customHeight="1" x14ac:dyDescent="0.3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5.75" customHeight="1" x14ac:dyDescent="0.3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5.75" customHeight="1" x14ac:dyDescent="0.3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5.75" customHeight="1" x14ac:dyDescent="0.3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5.75" customHeight="1" x14ac:dyDescent="0.3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5.75" customHeight="1" x14ac:dyDescent="0.3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5.75" customHeight="1" x14ac:dyDescent="0.3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5.75" customHeight="1" x14ac:dyDescent="0.3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5.75" customHeight="1" x14ac:dyDescent="0.3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5.75" customHeight="1" x14ac:dyDescent="0.3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5.75" customHeight="1" x14ac:dyDescent="0.3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5.75" customHeight="1" x14ac:dyDescent="0.3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5.75" customHeight="1" x14ac:dyDescent="0.3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5.75" customHeight="1" x14ac:dyDescent="0.3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5.75" customHeight="1" x14ac:dyDescent="0.3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5.75" customHeight="1" x14ac:dyDescent="0.3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5.75" customHeight="1" x14ac:dyDescent="0.3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5.75" customHeight="1" x14ac:dyDescent="0.3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5.75" customHeight="1" x14ac:dyDescent="0.3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5.75" customHeight="1" x14ac:dyDescent="0.3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5.75" customHeight="1" x14ac:dyDescent="0.3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5.75" customHeight="1" x14ac:dyDescent="0.3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5.75" customHeight="1" x14ac:dyDescent="0.3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5.75" customHeight="1" x14ac:dyDescent="0.3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5.75" customHeight="1" x14ac:dyDescent="0.3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5.75" customHeight="1" x14ac:dyDescent="0.3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5.75" customHeight="1" x14ac:dyDescent="0.3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5.75" customHeight="1" x14ac:dyDescent="0.3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5.75" customHeight="1" x14ac:dyDescent="0.3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5.75" customHeight="1" x14ac:dyDescent="0.3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5.75" customHeight="1" x14ac:dyDescent="0.3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5.75" customHeight="1" x14ac:dyDescent="0.3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5.75" customHeight="1" x14ac:dyDescent="0.3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5.75" customHeight="1" x14ac:dyDescent="0.3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5.75" customHeight="1" x14ac:dyDescent="0.3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5.75" customHeight="1" x14ac:dyDescent="0.3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5.75" customHeight="1" x14ac:dyDescent="0.3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5.75" customHeight="1" x14ac:dyDescent="0.3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5.75" customHeight="1" x14ac:dyDescent="0.3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5.75" customHeight="1" x14ac:dyDescent="0.3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5.75" customHeight="1" x14ac:dyDescent="0.3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5.75" customHeight="1" x14ac:dyDescent="0.3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5.75" customHeight="1" x14ac:dyDescent="0.3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5.75" customHeight="1" x14ac:dyDescent="0.3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5.75" customHeight="1" x14ac:dyDescent="0.3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5.75" customHeight="1" x14ac:dyDescent="0.3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5.75" customHeight="1" x14ac:dyDescent="0.3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5.75" customHeight="1" x14ac:dyDescent="0.3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5.75" customHeight="1" x14ac:dyDescent="0.3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5.75" customHeight="1" x14ac:dyDescent="0.3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5.75" customHeight="1" x14ac:dyDescent="0.3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5.75" customHeight="1" x14ac:dyDescent="0.3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5.75" customHeight="1" x14ac:dyDescent="0.3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5.75" customHeight="1" x14ac:dyDescent="0.3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5.75" customHeight="1" x14ac:dyDescent="0.3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5.75" customHeight="1" x14ac:dyDescent="0.3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5.75" customHeight="1" x14ac:dyDescent="0.3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5.75" customHeight="1" x14ac:dyDescent="0.3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5.75" customHeight="1" x14ac:dyDescent="0.3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5.75" customHeight="1" x14ac:dyDescent="0.3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5.75" customHeight="1" x14ac:dyDescent="0.3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5.75" customHeight="1" x14ac:dyDescent="0.3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5.75" customHeight="1" x14ac:dyDescent="0.3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5.75" customHeight="1" x14ac:dyDescent="0.3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5.75" customHeight="1" x14ac:dyDescent="0.3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5.75" customHeight="1" x14ac:dyDescent="0.3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5.75" customHeight="1" x14ac:dyDescent="0.3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5.75" customHeight="1" x14ac:dyDescent="0.3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5.75" customHeight="1" x14ac:dyDescent="0.3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5.75" customHeight="1" x14ac:dyDescent="0.3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5.75" customHeight="1" x14ac:dyDescent="0.3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5.75" customHeight="1" x14ac:dyDescent="0.3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5.75" customHeight="1" x14ac:dyDescent="0.3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5.75" customHeight="1" x14ac:dyDescent="0.3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5.75" customHeight="1" x14ac:dyDescent="0.3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5.75" customHeight="1" x14ac:dyDescent="0.3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5.75" customHeight="1" x14ac:dyDescent="0.3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5.75" customHeight="1" x14ac:dyDescent="0.3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5.75" customHeight="1" x14ac:dyDescent="0.3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5.75" customHeight="1" x14ac:dyDescent="0.3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5.75" customHeight="1" x14ac:dyDescent="0.3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5.75" customHeight="1" x14ac:dyDescent="0.3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5.75" customHeight="1" x14ac:dyDescent="0.3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5.75" customHeight="1" x14ac:dyDescent="0.3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5.75" customHeight="1" x14ac:dyDescent="0.3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5.75" customHeight="1" x14ac:dyDescent="0.3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5.75" customHeight="1" x14ac:dyDescent="0.3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5.75" customHeight="1" x14ac:dyDescent="0.3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5.75" customHeight="1" x14ac:dyDescent="0.3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5.75" customHeight="1" x14ac:dyDescent="0.3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5.75" customHeight="1" x14ac:dyDescent="0.3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5.75" customHeight="1" x14ac:dyDescent="0.3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5.75" customHeight="1" x14ac:dyDescent="0.3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5.75" customHeight="1" x14ac:dyDescent="0.3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5.75" customHeight="1" x14ac:dyDescent="0.3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5.75" customHeight="1" x14ac:dyDescent="0.3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5.75" customHeight="1" x14ac:dyDescent="0.3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5.75" customHeight="1" x14ac:dyDescent="0.3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5.75" customHeight="1" x14ac:dyDescent="0.3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5.75" customHeight="1" x14ac:dyDescent="0.3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5.75" customHeight="1" x14ac:dyDescent="0.3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5.75" customHeight="1" x14ac:dyDescent="0.3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5.75" customHeight="1" x14ac:dyDescent="0.3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5.75" customHeight="1" x14ac:dyDescent="0.3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5.75" customHeight="1" x14ac:dyDescent="0.3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5.75" customHeight="1" x14ac:dyDescent="0.3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5.75" customHeight="1" x14ac:dyDescent="0.3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5.75" customHeight="1" x14ac:dyDescent="0.3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5.75" customHeight="1" x14ac:dyDescent="0.3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5.75" customHeight="1" x14ac:dyDescent="0.3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5.75" customHeight="1" x14ac:dyDescent="0.3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5.75" customHeight="1" x14ac:dyDescent="0.3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5.75" customHeight="1" x14ac:dyDescent="0.3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5.75" customHeight="1" x14ac:dyDescent="0.3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5.75" customHeight="1" x14ac:dyDescent="0.3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5.75" customHeight="1" x14ac:dyDescent="0.3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5.75" customHeight="1" x14ac:dyDescent="0.3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5.75" customHeight="1" x14ac:dyDescent="0.3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5.75" customHeight="1" x14ac:dyDescent="0.3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5.75" customHeight="1" x14ac:dyDescent="0.3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5.75" customHeight="1" x14ac:dyDescent="0.3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5.75" customHeight="1" x14ac:dyDescent="0.3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5.75" customHeight="1" x14ac:dyDescent="0.3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5.75" customHeight="1" x14ac:dyDescent="0.3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5.75" customHeight="1" x14ac:dyDescent="0.3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5.75" customHeight="1" x14ac:dyDescent="0.3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5.75" customHeight="1" x14ac:dyDescent="0.3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5.75" customHeight="1" x14ac:dyDescent="0.3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5.75" customHeight="1" x14ac:dyDescent="0.3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5.75" customHeight="1" x14ac:dyDescent="0.3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5.75" customHeight="1" x14ac:dyDescent="0.3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5.75" customHeight="1" x14ac:dyDescent="0.3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5.75" customHeight="1" x14ac:dyDescent="0.3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5.75" customHeight="1" x14ac:dyDescent="0.3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5.75" customHeight="1" x14ac:dyDescent="0.3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5.75" customHeight="1" x14ac:dyDescent="0.3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5.75" customHeight="1" x14ac:dyDescent="0.3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5.75" customHeight="1" x14ac:dyDescent="0.3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5.75" customHeight="1" x14ac:dyDescent="0.3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5.75" customHeight="1" x14ac:dyDescent="0.3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5.75" customHeight="1" x14ac:dyDescent="0.3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5.75" customHeight="1" x14ac:dyDescent="0.3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5.75" customHeight="1" x14ac:dyDescent="0.3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5.75" customHeight="1" x14ac:dyDescent="0.3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5.75" customHeight="1" x14ac:dyDescent="0.3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5.75" customHeight="1" x14ac:dyDescent="0.3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5.75" customHeight="1" x14ac:dyDescent="0.3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5.75" customHeight="1" x14ac:dyDescent="0.3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5.75" customHeight="1" x14ac:dyDescent="0.3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5.75" customHeight="1" x14ac:dyDescent="0.3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5.75" customHeight="1" x14ac:dyDescent="0.3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5.75" customHeight="1" x14ac:dyDescent="0.3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5.75" customHeight="1" x14ac:dyDescent="0.3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5.75" customHeight="1" x14ac:dyDescent="0.3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5.75" customHeight="1" x14ac:dyDescent="0.3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5.75" customHeight="1" x14ac:dyDescent="0.3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5.75" customHeight="1" x14ac:dyDescent="0.3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5.75" customHeight="1" x14ac:dyDescent="0.3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5.75" customHeight="1" x14ac:dyDescent="0.3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5.75" customHeight="1" x14ac:dyDescent="0.3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5.75" customHeight="1" x14ac:dyDescent="0.3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5.75" customHeight="1" x14ac:dyDescent="0.3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5.75" customHeight="1" x14ac:dyDescent="0.3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5.75" customHeight="1" x14ac:dyDescent="0.3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5.75" customHeight="1" x14ac:dyDescent="0.3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5.75" customHeight="1" x14ac:dyDescent="0.3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5.75" customHeight="1" x14ac:dyDescent="0.3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5.75" customHeight="1" x14ac:dyDescent="0.3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5.75" customHeight="1" x14ac:dyDescent="0.3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5.75" customHeight="1" x14ac:dyDescent="0.3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5.75" customHeight="1" x14ac:dyDescent="0.3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5.75" customHeight="1" x14ac:dyDescent="0.3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5.75" customHeight="1" x14ac:dyDescent="0.3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5.75" customHeight="1" x14ac:dyDescent="0.3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5.75" customHeight="1" x14ac:dyDescent="0.3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5.75" customHeight="1" x14ac:dyDescent="0.3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5.75" customHeight="1" x14ac:dyDescent="0.3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5.75" customHeight="1" x14ac:dyDescent="0.3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5.75" customHeight="1" x14ac:dyDescent="0.3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5.75" customHeight="1" x14ac:dyDescent="0.3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5.75" customHeight="1" x14ac:dyDescent="0.3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5.75" customHeight="1" x14ac:dyDescent="0.3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5.75" customHeight="1" x14ac:dyDescent="0.3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5.75" customHeight="1" x14ac:dyDescent="0.3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5.75" customHeight="1" x14ac:dyDescent="0.3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5.75" customHeight="1" x14ac:dyDescent="0.3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5.75" customHeight="1" x14ac:dyDescent="0.3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5.75" customHeight="1" x14ac:dyDescent="0.3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5.75" customHeight="1" x14ac:dyDescent="0.3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5.75" customHeight="1" x14ac:dyDescent="0.3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5.75" customHeight="1" x14ac:dyDescent="0.3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5.75" customHeight="1" x14ac:dyDescent="0.3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5.75" customHeight="1" x14ac:dyDescent="0.3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5.75" customHeight="1" x14ac:dyDescent="0.3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5.75" customHeight="1" x14ac:dyDescent="0.3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5.75" customHeight="1" x14ac:dyDescent="0.3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5.75" customHeight="1" x14ac:dyDescent="0.3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5.75" customHeight="1" x14ac:dyDescent="0.3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5.75" customHeight="1" x14ac:dyDescent="0.3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5.75" customHeight="1" x14ac:dyDescent="0.3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5.75" customHeight="1" x14ac:dyDescent="0.3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5.75" customHeight="1" x14ac:dyDescent="0.3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5.75" customHeight="1" x14ac:dyDescent="0.3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5.75" customHeight="1" x14ac:dyDescent="0.3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5.75" customHeight="1" x14ac:dyDescent="0.3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5.75" customHeight="1" x14ac:dyDescent="0.3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5.75" customHeight="1" x14ac:dyDescent="0.3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5.75" customHeight="1" x14ac:dyDescent="0.3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5.75" customHeight="1" x14ac:dyDescent="0.3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5.75" customHeight="1" x14ac:dyDescent="0.3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5.75" customHeight="1" x14ac:dyDescent="0.3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5.75" customHeight="1" x14ac:dyDescent="0.3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5.75" customHeight="1" x14ac:dyDescent="0.3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5.75" customHeight="1" x14ac:dyDescent="0.3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5.75" customHeight="1" x14ac:dyDescent="0.3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5.75" customHeight="1" x14ac:dyDescent="0.3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5.75" customHeight="1" x14ac:dyDescent="0.3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5.75" customHeight="1" x14ac:dyDescent="0.3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5.75" customHeight="1" x14ac:dyDescent="0.3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5.75" customHeight="1" x14ac:dyDescent="0.3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5.75" customHeight="1" x14ac:dyDescent="0.3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5.75" customHeight="1" x14ac:dyDescent="0.3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5.75" customHeight="1" x14ac:dyDescent="0.3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5.75" customHeight="1" x14ac:dyDescent="0.3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5.75" customHeight="1" x14ac:dyDescent="0.3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5.75" customHeight="1" x14ac:dyDescent="0.3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5.75" customHeight="1" x14ac:dyDescent="0.3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5.75" customHeight="1" x14ac:dyDescent="0.3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5.75" customHeight="1" x14ac:dyDescent="0.3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5.75" customHeight="1" x14ac:dyDescent="0.3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5.75" customHeight="1" x14ac:dyDescent="0.3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5.75" customHeight="1" x14ac:dyDescent="0.3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5.75" customHeight="1" x14ac:dyDescent="0.3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5.75" customHeight="1" x14ac:dyDescent="0.3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5.75" customHeight="1" x14ac:dyDescent="0.3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5.75" customHeight="1" x14ac:dyDescent="0.3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5.75" customHeight="1" x14ac:dyDescent="0.3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5.75" customHeight="1" x14ac:dyDescent="0.3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5.75" customHeight="1" x14ac:dyDescent="0.3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5.75" customHeight="1" x14ac:dyDescent="0.3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5.75" customHeight="1" x14ac:dyDescent="0.3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5.75" customHeight="1" x14ac:dyDescent="0.3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5.75" customHeight="1" x14ac:dyDescent="0.3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5.75" customHeight="1" x14ac:dyDescent="0.3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5.75" customHeight="1" x14ac:dyDescent="0.3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5.75" customHeight="1" x14ac:dyDescent="0.3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5.75" customHeight="1" x14ac:dyDescent="0.3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5.75" customHeight="1" x14ac:dyDescent="0.3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5.75" customHeight="1" x14ac:dyDescent="0.3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10">
    <mergeCell ref="E12:K16"/>
    <mergeCell ref="E21:K23"/>
    <mergeCell ref="D33:F33"/>
    <mergeCell ref="B4:D4"/>
    <mergeCell ref="B5:D5"/>
    <mergeCell ref="B6:D6"/>
    <mergeCell ref="B7:D7"/>
    <mergeCell ref="B8:D8"/>
    <mergeCell ref="E8:G8"/>
    <mergeCell ref="E10:K10"/>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00FF"/>
    <outlinePr summaryBelow="0" summaryRight="0"/>
  </sheetPr>
  <dimension ref="A1:Z1016"/>
  <sheetViews>
    <sheetView workbookViewId="0"/>
  </sheetViews>
  <sheetFormatPr defaultColWidth="14.3984375" defaultRowHeight="15" customHeight="1" x14ac:dyDescent="0.3"/>
  <cols>
    <col min="1" max="1" width="12.69921875" customWidth="1"/>
    <col min="2" max="2" width="74.8984375" customWidth="1"/>
    <col min="3" max="3" width="12.8984375" customWidth="1"/>
    <col min="4" max="4" width="16.59765625" customWidth="1"/>
    <col min="5" max="5" width="16.8984375" customWidth="1"/>
    <col min="6" max="7" width="17.09765625" customWidth="1"/>
    <col min="8" max="8" width="16.8984375" customWidth="1"/>
    <col min="9" max="9" width="18.3984375" customWidth="1"/>
    <col min="10" max="10" width="17.3984375" customWidth="1"/>
    <col min="11" max="11" width="17.69921875" customWidth="1"/>
    <col min="12" max="12" width="17.3984375" customWidth="1"/>
    <col min="13" max="13" width="16.3984375" customWidth="1"/>
    <col min="14" max="14" width="16.296875" customWidth="1"/>
    <col min="15" max="15" width="16.3984375" customWidth="1"/>
    <col min="16" max="16" width="18.3984375" customWidth="1"/>
    <col min="17" max="26" width="12.69921875" customWidth="1"/>
  </cols>
  <sheetData>
    <row r="1" spans="1:26" ht="15.5"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254</v>
      </c>
      <c r="C2" s="47"/>
      <c r="D2" s="33" t="s">
        <v>183</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47"/>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320</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57" t="s">
        <v>321</v>
      </c>
      <c r="C6" s="546"/>
      <c r="D6" s="558"/>
      <c r="E6" s="32"/>
      <c r="F6" s="32"/>
      <c r="G6" s="32"/>
      <c r="H6" s="32"/>
      <c r="I6" s="32"/>
      <c r="J6" s="32"/>
      <c r="K6" s="32"/>
      <c r="L6" s="50"/>
      <c r="M6" s="50"/>
      <c r="N6" s="50"/>
      <c r="O6" s="50"/>
      <c r="P6" s="50"/>
      <c r="Q6" s="50"/>
      <c r="R6" s="50"/>
      <c r="S6" s="50"/>
      <c r="T6" s="50"/>
      <c r="U6" s="50"/>
      <c r="V6" s="50"/>
      <c r="W6" s="50"/>
      <c r="X6" s="50"/>
      <c r="Y6" s="50"/>
      <c r="Z6" s="50"/>
    </row>
    <row r="7" spans="1:26" ht="15.5" x14ac:dyDescent="0.35">
      <c r="A7" s="50"/>
      <c r="B7" s="569" t="s">
        <v>341</v>
      </c>
      <c r="C7" s="546"/>
      <c r="D7" s="558"/>
      <c r="E7" s="32"/>
      <c r="F7" s="32"/>
      <c r="G7" s="32"/>
      <c r="H7" s="32"/>
      <c r="I7" s="32"/>
      <c r="J7" s="32"/>
      <c r="K7" s="32"/>
      <c r="L7" s="50"/>
      <c r="M7" s="50"/>
      <c r="N7" s="50"/>
      <c r="O7" s="50"/>
      <c r="P7" s="50"/>
      <c r="Q7" s="50"/>
      <c r="R7" s="50"/>
      <c r="S7" s="50"/>
      <c r="T7" s="50"/>
      <c r="U7" s="50"/>
      <c r="V7" s="50"/>
      <c r="W7" s="50"/>
      <c r="X7" s="50"/>
      <c r="Y7" s="50"/>
      <c r="Z7" s="50"/>
    </row>
    <row r="8" spans="1:26" ht="96.75" customHeight="1" x14ac:dyDescent="0.35">
      <c r="A8" s="50"/>
      <c r="B8" s="572" t="s">
        <v>347</v>
      </c>
      <c r="C8" s="573"/>
      <c r="D8" s="574"/>
      <c r="E8" s="575"/>
      <c r="F8" s="546"/>
      <c r="G8" s="534"/>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305" t="s">
        <v>85</v>
      </c>
      <c r="C10" s="84"/>
      <c r="D10" s="285" t="s">
        <v>143</v>
      </c>
      <c r="E10" s="562" t="s">
        <v>87</v>
      </c>
      <c r="F10" s="552"/>
      <c r="G10" s="552"/>
      <c r="H10" s="552"/>
      <c r="I10" s="552"/>
      <c r="J10" s="552"/>
      <c r="K10" s="555"/>
      <c r="L10" s="50"/>
      <c r="M10" s="50"/>
      <c r="N10" s="50"/>
      <c r="O10" s="50"/>
      <c r="P10" s="50"/>
      <c r="Q10" s="50"/>
      <c r="R10" s="50"/>
      <c r="S10" s="50"/>
      <c r="T10" s="50"/>
      <c r="U10" s="50"/>
      <c r="V10" s="50"/>
      <c r="W10" s="50"/>
      <c r="X10" s="50"/>
      <c r="Y10" s="50"/>
      <c r="Z10" s="50"/>
    </row>
    <row r="11" spans="1:26" ht="15.75" customHeight="1" x14ac:dyDescent="0.35">
      <c r="A11" s="50"/>
      <c r="B11" s="96" t="s">
        <v>323</v>
      </c>
      <c r="C11" s="88"/>
      <c r="D11" s="292"/>
      <c r="E11" s="91"/>
      <c r="F11" s="91"/>
      <c r="G11" s="91"/>
      <c r="H11" s="91"/>
      <c r="I11" s="91"/>
      <c r="J11" s="91"/>
      <c r="K11" s="92"/>
      <c r="L11" s="50"/>
      <c r="M11" s="50"/>
      <c r="N11" s="50"/>
      <c r="O11" s="50"/>
      <c r="P11" s="50"/>
      <c r="Q11" s="50"/>
      <c r="R11" s="50"/>
      <c r="S11" s="50"/>
      <c r="T11" s="50"/>
      <c r="U11" s="50"/>
      <c r="V11" s="50"/>
      <c r="W11" s="50"/>
      <c r="X11" s="50"/>
      <c r="Y11" s="50"/>
      <c r="Z11" s="50"/>
    </row>
    <row r="12" spans="1:26" ht="15.75" customHeight="1" x14ac:dyDescent="0.35">
      <c r="A12" s="50"/>
      <c r="B12" s="293" t="s">
        <v>324</v>
      </c>
      <c r="C12" s="310" t="s">
        <v>325</v>
      </c>
      <c r="D12" s="294">
        <f>8.49-4.32</f>
        <v>4.17</v>
      </c>
      <c r="E12" s="586" t="s">
        <v>326</v>
      </c>
      <c r="F12" s="587"/>
      <c r="G12" s="587"/>
      <c r="H12" s="587"/>
      <c r="I12" s="587"/>
      <c r="J12" s="587"/>
      <c r="K12" s="588"/>
      <c r="L12" s="50"/>
      <c r="M12" s="50"/>
      <c r="N12" s="50"/>
      <c r="O12" s="50"/>
      <c r="P12" s="50"/>
      <c r="Q12" s="50"/>
      <c r="R12" s="50"/>
      <c r="S12" s="50"/>
      <c r="T12" s="50"/>
      <c r="U12" s="50"/>
      <c r="V12" s="50"/>
      <c r="W12" s="50"/>
      <c r="X12" s="50"/>
      <c r="Y12" s="50"/>
      <c r="Z12" s="50"/>
    </row>
    <row r="13" spans="1:26" ht="15.75" customHeight="1" x14ac:dyDescent="0.35">
      <c r="A13" s="50"/>
      <c r="B13" s="293" t="s">
        <v>342</v>
      </c>
      <c r="C13" s="310" t="s">
        <v>325</v>
      </c>
      <c r="D13" s="294">
        <f>3.75-2.01</f>
        <v>1.7400000000000002</v>
      </c>
      <c r="E13" s="589"/>
      <c r="F13" s="536"/>
      <c r="G13" s="536"/>
      <c r="H13" s="536"/>
      <c r="I13" s="536"/>
      <c r="J13" s="536"/>
      <c r="K13" s="571"/>
      <c r="L13" s="50"/>
      <c r="M13" s="50"/>
      <c r="N13" s="50"/>
      <c r="O13" s="50"/>
      <c r="P13" s="50"/>
      <c r="Q13" s="50"/>
      <c r="R13" s="50"/>
      <c r="S13" s="50"/>
      <c r="T13" s="50"/>
      <c r="U13" s="50"/>
      <c r="V13" s="50"/>
      <c r="W13" s="50"/>
      <c r="X13" s="50"/>
      <c r="Y13" s="50"/>
      <c r="Z13" s="50"/>
    </row>
    <row r="14" spans="1:26" ht="15.75" customHeight="1" x14ac:dyDescent="0.35">
      <c r="A14" s="50"/>
      <c r="B14" s="293" t="s">
        <v>343</v>
      </c>
      <c r="C14" s="310" t="s">
        <v>325</v>
      </c>
      <c r="D14" s="294">
        <f>1.51-1.01</f>
        <v>0.5</v>
      </c>
      <c r="E14" s="589"/>
      <c r="F14" s="536"/>
      <c r="G14" s="536"/>
      <c r="H14" s="536"/>
      <c r="I14" s="536"/>
      <c r="J14" s="536"/>
      <c r="K14" s="571"/>
      <c r="L14" s="50"/>
      <c r="M14" s="50"/>
      <c r="N14" s="50"/>
      <c r="O14" s="50"/>
      <c r="P14" s="50"/>
      <c r="Q14" s="50"/>
      <c r="R14" s="50"/>
      <c r="S14" s="50"/>
      <c r="T14" s="50"/>
      <c r="U14" s="50"/>
      <c r="V14" s="50"/>
      <c r="W14" s="50"/>
      <c r="X14" s="50"/>
      <c r="Y14" s="50"/>
      <c r="Z14" s="50"/>
    </row>
    <row r="15" spans="1:26" ht="15.75" customHeight="1" x14ac:dyDescent="0.35">
      <c r="A15" s="50"/>
      <c r="B15" s="293" t="s">
        <v>344</v>
      </c>
      <c r="C15" s="310" t="s">
        <v>325</v>
      </c>
      <c r="D15" s="294">
        <f>5.34-4.11</f>
        <v>1.2299999999999995</v>
      </c>
      <c r="E15" s="589"/>
      <c r="F15" s="536"/>
      <c r="G15" s="536"/>
      <c r="H15" s="536"/>
      <c r="I15" s="536"/>
      <c r="J15" s="536"/>
      <c r="K15" s="571"/>
      <c r="L15" s="50"/>
      <c r="M15" s="50"/>
      <c r="N15" s="50"/>
      <c r="O15" s="50"/>
      <c r="P15" s="50"/>
      <c r="Q15" s="50"/>
      <c r="R15" s="50"/>
      <c r="S15" s="50"/>
      <c r="T15" s="50"/>
      <c r="U15" s="50"/>
      <c r="V15" s="50"/>
      <c r="W15" s="50"/>
      <c r="X15" s="50"/>
      <c r="Y15" s="50"/>
      <c r="Z15" s="50"/>
    </row>
    <row r="16" spans="1:26" ht="15.75" customHeight="1" x14ac:dyDescent="0.35">
      <c r="A16" s="50"/>
      <c r="B16" s="293" t="s">
        <v>330</v>
      </c>
      <c r="C16" s="310" t="s">
        <v>325</v>
      </c>
      <c r="D16" s="294">
        <f>0.15-0.07</f>
        <v>7.9999999999999988E-2</v>
      </c>
      <c r="E16" s="590"/>
      <c r="F16" s="591"/>
      <c r="G16" s="591"/>
      <c r="H16" s="591"/>
      <c r="I16" s="591"/>
      <c r="J16" s="591"/>
      <c r="K16" s="592"/>
      <c r="L16" s="50"/>
      <c r="M16" s="50"/>
      <c r="N16" s="50"/>
      <c r="O16" s="50"/>
      <c r="P16" s="50"/>
      <c r="Q16" s="50"/>
      <c r="R16" s="50"/>
      <c r="S16" s="50"/>
      <c r="T16" s="50"/>
      <c r="U16" s="50"/>
      <c r="V16" s="50"/>
      <c r="W16" s="50"/>
      <c r="X16" s="50"/>
      <c r="Y16" s="50"/>
      <c r="Z16" s="50"/>
    </row>
    <row r="17" spans="1:26" ht="15.75" customHeight="1" x14ac:dyDescent="0.35">
      <c r="A17" s="50"/>
      <c r="B17" s="89" t="s">
        <v>323</v>
      </c>
      <c r="C17" s="310" t="s">
        <v>325</v>
      </c>
      <c r="D17" s="295">
        <f>AVERAGE(D12:D16)</f>
        <v>1.544</v>
      </c>
      <c r="E17" s="91" t="s">
        <v>117</v>
      </c>
      <c r="F17" s="91"/>
      <c r="G17" s="91"/>
      <c r="H17" s="91"/>
      <c r="I17" s="91"/>
      <c r="J17" s="91"/>
      <c r="K17" s="92"/>
      <c r="L17" s="50"/>
      <c r="M17" s="50"/>
      <c r="N17" s="50"/>
      <c r="O17" s="50"/>
      <c r="P17" s="50"/>
      <c r="Q17" s="50"/>
      <c r="R17" s="50"/>
      <c r="S17" s="50"/>
      <c r="T17" s="50"/>
      <c r="U17" s="50"/>
      <c r="V17" s="50"/>
      <c r="W17" s="50"/>
      <c r="X17" s="50"/>
      <c r="Y17" s="50"/>
      <c r="Z17" s="50"/>
    </row>
    <row r="18" spans="1:26" ht="15.75" customHeight="1" x14ac:dyDescent="0.35">
      <c r="A18" s="50"/>
      <c r="B18" s="104" t="s">
        <v>331</v>
      </c>
      <c r="C18" s="223"/>
      <c r="D18" s="297"/>
      <c r="E18" s="91"/>
      <c r="F18" s="91"/>
      <c r="G18" s="91"/>
      <c r="H18" s="91"/>
      <c r="I18" s="91"/>
      <c r="J18" s="91"/>
      <c r="K18" s="92"/>
      <c r="L18" s="50"/>
      <c r="M18" s="50"/>
      <c r="N18" s="50"/>
      <c r="O18" s="50"/>
      <c r="P18" s="50"/>
      <c r="Q18" s="50"/>
      <c r="R18" s="50"/>
      <c r="S18" s="50"/>
      <c r="T18" s="50"/>
      <c r="U18" s="50"/>
      <c r="V18" s="50"/>
      <c r="W18" s="50"/>
      <c r="X18" s="50"/>
      <c r="Y18" s="50"/>
      <c r="Z18" s="50"/>
    </row>
    <row r="19" spans="1:26" ht="15.75" customHeight="1" x14ac:dyDescent="0.35">
      <c r="A19" s="50"/>
      <c r="B19" s="89">
        <v>2020</v>
      </c>
      <c r="C19" s="223" t="s">
        <v>332</v>
      </c>
      <c r="D19" s="298">
        <v>48</v>
      </c>
      <c r="E19" s="228" t="s">
        <v>348</v>
      </c>
      <c r="F19" s="91"/>
      <c r="G19" s="91"/>
      <c r="H19" s="91"/>
      <c r="I19" s="91"/>
      <c r="J19" s="91"/>
      <c r="K19" s="92"/>
      <c r="L19" s="50"/>
      <c r="M19" s="50"/>
      <c r="N19" s="50"/>
      <c r="O19" s="50"/>
      <c r="P19" s="50"/>
      <c r="Q19" s="50"/>
      <c r="R19" s="50"/>
      <c r="S19" s="50"/>
      <c r="T19" s="50"/>
      <c r="U19" s="50"/>
      <c r="V19" s="50"/>
      <c r="W19" s="50"/>
      <c r="X19" s="50"/>
      <c r="Y19" s="50"/>
      <c r="Z19" s="50"/>
    </row>
    <row r="20" spans="1:26" ht="15.75" customHeight="1" x14ac:dyDescent="0.35">
      <c r="A20" s="50"/>
      <c r="B20" s="89">
        <v>2021</v>
      </c>
      <c r="C20" s="223" t="s">
        <v>332</v>
      </c>
      <c r="D20" s="298">
        <v>48</v>
      </c>
      <c r="E20" s="91" t="s">
        <v>334</v>
      </c>
      <c r="F20" s="91"/>
      <c r="G20" s="91"/>
      <c r="H20" s="91"/>
      <c r="I20" s="91"/>
      <c r="J20" s="91"/>
      <c r="K20" s="92"/>
      <c r="L20" s="50"/>
      <c r="M20" s="50"/>
      <c r="N20" s="50"/>
      <c r="O20" s="50"/>
      <c r="P20" s="50"/>
      <c r="Q20" s="50"/>
      <c r="R20" s="50"/>
      <c r="S20" s="50"/>
      <c r="T20" s="50"/>
      <c r="U20" s="50"/>
      <c r="V20" s="50"/>
      <c r="W20" s="50"/>
      <c r="X20" s="50"/>
      <c r="Y20" s="50"/>
      <c r="Z20" s="50"/>
    </row>
    <row r="21" spans="1:26" ht="15" customHeight="1" x14ac:dyDescent="0.35">
      <c r="A21" s="50"/>
      <c r="B21" s="89">
        <v>2022</v>
      </c>
      <c r="C21" s="223" t="s">
        <v>332</v>
      </c>
      <c r="D21" s="298">
        <v>48</v>
      </c>
      <c r="E21" s="594" t="s">
        <v>335</v>
      </c>
      <c r="F21" s="587"/>
      <c r="G21" s="587"/>
      <c r="H21" s="587"/>
      <c r="I21" s="587"/>
      <c r="J21" s="587"/>
      <c r="K21" s="588"/>
      <c r="L21" s="50"/>
      <c r="M21" s="50"/>
      <c r="N21" s="50"/>
      <c r="O21" s="50"/>
      <c r="P21" s="50"/>
      <c r="Q21" s="50"/>
      <c r="R21" s="50"/>
      <c r="S21" s="50"/>
      <c r="T21" s="50"/>
      <c r="U21" s="50"/>
      <c r="V21" s="50"/>
      <c r="W21" s="50"/>
      <c r="X21" s="50"/>
      <c r="Y21" s="50"/>
      <c r="Z21" s="50"/>
    </row>
    <row r="22" spans="1:26" ht="15.75" customHeight="1" x14ac:dyDescent="0.35">
      <c r="A22" s="50"/>
      <c r="B22" s="89">
        <v>2023</v>
      </c>
      <c r="C22" s="223" t="s">
        <v>332</v>
      </c>
      <c r="D22" s="298">
        <v>48</v>
      </c>
      <c r="E22" s="589"/>
      <c r="F22" s="536"/>
      <c r="G22" s="536"/>
      <c r="H22" s="536"/>
      <c r="I22" s="536"/>
      <c r="J22" s="536"/>
      <c r="K22" s="571"/>
      <c r="L22" s="50"/>
      <c r="M22" s="50"/>
      <c r="N22" s="50"/>
      <c r="O22" s="50"/>
      <c r="P22" s="50"/>
      <c r="Q22" s="50"/>
      <c r="R22" s="50"/>
      <c r="S22" s="50"/>
      <c r="T22" s="50"/>
      <c r="U22" s="50"/>
      <c r="V22" s="50"/>
      <c r="W22" s="50"/>
      <c r="X22" s="50"/>
      <c r="Y22" s="50"/>
      <c r="Z22" s="50"/>
    </row>
    <row r="23" spans="1:26" ht="15.75" customHeight="1" x14ac:dyDescent="0.35">
      <c r="A23" s="50"/>
      <c r="B23" s="89">
        <v>2024</v>
      </c>
      <c r="C23" s="223" t="s">
        <v>332</v>
      </c>
      <c r="D23" s="298">
        <v>48</v>
      </c>
      <c r="E23" s="590"/>
      <c r="F23" s="591"/>
      <c r="G23" s="591"/>
      <c r="H23" s="591"/>
      <c r="I23" s="591"/>
      <c r="J23" s="591"/>
      <c r="K23" s="592"/>
      <c r="L23" s="50"/>
      <c r="M23" s="50"/>
      <c r="N23" s="50"/>
      <c r="O23" s="50"/>
      <c r="P23" s="50"/>
      <c r="Q23" s="50"/>
      <c r="R23" s="50"/>
      <c r="S23" s="50"/>
      <c r="T23" s="50"/>
      <c r="U23" s="50"/>
      <c r="V23" s="50"/>
      <c r="W23" s="50"/>
      <c r="X23" s="50"/>
      <c r="Y23" s="50"/>
      <c r="Z23" s="50"/>
    </row>
    <row r="24" spans="1:26" ht="15.75" customHeight="1" x14ac:dyDescent="0.35">
      <c r="A24" s="50"/>
      <c r="B24" s="89">
        <v>2025</v>
      </c>
      <c r="C24" s="223" t="s">
        <v>332</v>
      </c>
      <c r="D24" s="298">
        <v>48</v>
      </c>
      <c r="E24" s="91"/>
      <c r="F24" s="91"/>
      <c r="G24" s="91"/>
      <c r="H24" s="91"/>
      <c r="I24" s="91"/>
      <c r="J24" s="91"/>
      <c r="K24" s="92"/>
      <c r="L24" s="50"/>
      <c r="M24" s="50"/>
      <c r="N24" s="50"/>
      <c r="O24" s="50"/>
      <c r="P24" s="50"/>
      <c r="Q24" s="50"/>
      <c r="R24" s="50"/>
      <c r="S24" s="50"/>
      <c r="T24" s="50"/>
      <c r="U24" s="50"/>
      <c r="V24" s="50"/>
      <c r="W24" s="50"/>
      <c r="X24" s="50"/>
      <c r="Y24" s="50"/>
      <c r="Z24" s="50"/>
    </row>
    <row r="25" spans="1:26" ht="15.75" customHeight="1" x14ac:dyDescent="0.35">
      <c r="A25" s="50"/>
      <c r="B25" s="89">
        <v>2026</v>
      </c>
      <c r="C25" s="223" t="s">
        <v>332</v>
      </c>
      <c r="D25" s="298">
        <v>48</v>
      </c>
      <c r="E25" s="91"/>
      <c r="F25" s="91"/>
      <c r="G25" s="91"/>
      <c r="H25" s="91"/>
      <c r="I25" s="91"/>
      <c r="J25" s="91"/>
      <c r="K25" s="92"/>
      <c r="L25" s="50"/>
      <c r="M25" s="50"/>
      <c r="N25" s="50"/>
      <c r="O25" s="50"/>
      <c r="P25" s="50"/>
      <c r="Q25" s="50"/>
      <c r="R25" s="50"/>
      <c r="S25" s="50"/>
      <c r="T25" s="50"/>
      <c r="U25" s="50"/>
      <c r="V25" s="50"/>
      <c r="W25" s="50"/>
      <c r="X25" s="50"/>
      <c r="Y25" s="50"/>
      <c r="Z25" s="50"/>
    </row>
    <row r="26" spans="1:26" ht="15.75" customHeight="1" x14ac:dyDescent="0.35">
      <c r="A26" s="50"/>
      <c r="B26" s="89">
        <v>2027</v>
      </c>
      <c r="C26" s="223" t="s">
        <v>332</v>
      </c>
      <c r="D26" s="298">
        <v>217</v>
      </c>
      <c r="E26" s="91"/>
      <c r="F26" s="91"/>
      <c r="G26" s="91"/>
      <c r="H26" s="91"/>
      <c r="I26" s="91"/>
      <c r="J26" s="91"/>
      <c r="K26" s="92"/>
      <c r="L26" s="50"/>
      <c r="M26" s="50"/>
      <c r="N26" s="50"/>
      <c r="O26" s="50"/>
      <c r="P26" s="50"/>
      <c r="Q26" s="50"/>
      <c r="R26" s="50"/>
      <c r="S26" s="50"/>
      <c r="T26" s="50"/>
      <c r="U26" s="50"/>
      <c r="V26" s="50"/>
      <c r="W26" s="50"/>
      <c r="X26" s="50"/>
      <c r="Y26" s="50"/>
      <c r="Z26" s="50"/>
    </row>
    <row r="27" spans="1:26" ht="15.75" customHeight="1" x14ac:dyDescent="0.35">
      <c r="A27" s="50"/>
      <c r="B27" s="89">
        <v>2028</v>
      </c>
      <c r="C27" s="223" t="s">
        <v>332</v>
      </c>
      <c r="D27" s="298">
        <v>217</v>
      </c>
      <c r="E27" s="91"/>
      <c r="F27" s="91"/>
      <c r="G27" s="91"/>
      <c r="H27" s="91"/>
      <c r="I27" s="91"/>
      <c r="J27" s="91"/>
      <c r="K27" s="92"/>
      <c r="L27" s="50"/>
      <c r="M27" s="50"/>
      <c r="N27" s="50"/>
      <c r="O27" s="50"/>
      <c r="P27" s="50"/>
      <c r="Q27" s="50"/>
      <c r="R27" s="50"/>
      <c r="S27" s="50"/>
      <c r="T27" s="50"/>
      <c r="U27" s="50"/>
      <c r="V27" s="50"/>
      <c r="W27" s="50"/>
      <c r="X27" s="50"/>
      <c r="Y27" s="50"/>
      <c r="Z27" s="50"/>
    </row>
    <row r="28" spans="1:26" ht="15.75" customHeight="1" x14ac:dyDescent="0.35">
      <c r="A28" s="50"/>
      <c r="B28" s="89">
        <v>2029</v>
      </c>
      <c r="C28" s="223" t="s">
        <v>332</v>
      </c>
      <c r="D28" s="298">
        <v>200</v>
      </c>
      <c r="E28" s="91"/>
      <c r="F28" s="91"/>
      <c r="G28" s="91"/>
      <c r="H28" s="91"/>
      <c r="I28" s="91"/>
      <c r="J28" s="91"/>
      <c r="K28" s="92"/>
      <c r="L28" s="50"/>
      <c r="M28" s="50"/>
      <c r="N28" s="50"/>
      <c r="O28" s="50"/>
      <c r="P28" s="50"/>
      <c r="Q28" s="50"/>
      <c r="R28" s="50"/>
      <c r="S28" s="50"/>
      <c r="T28" s="50"/>
      <c r="U28" s="50"/>
      <c r="V28" s="50"/>
      <c r="W28" s="50"/>
      <c r="X28" s="50"/>
      <c r="Y28" s="50"/>
      <c r="Z28" s="50"/>
    </row>
    <row r="29" spans="1:26" ht="15.75" customHeight="1" x14ac:dyDescent="0.35">
      <c r="A29" s="50"/>
      <c r="B29" s="89">
        <v>2030</v>
      </c>
      <c r="C29" s="223" t="s">
        <v>332</v>
      </c>
      <c r="D29" s="298">
        <v>193</v>
      </c>
      <c r="E29" s="91"/>
      <c r="F29" s="91"/>
      <c r="G29" s="91"/>
      <c r="H29" s="91"/>
      <c r="I29" s="91"/>
      <c r="J29" s="91"/>
      <c r="K29" s="92"/>
      <c r="L29" s="50"/>
      <c r="M29" s="50"/>
      <c r="N29" s="50"/>
      <c r="O29" s="50"/>
      <c r="P29" s="50"/>
      <c r="Q29" s="50"/>
      <c r="R29" s="50"/>
      <c r="S29" s="50"/>
      <c r="T29" s="50"/>
      <c r="U29" s="50"/>
      <c r="V29" s="50"/>
      <c r="W29" s="50"/>
      <c r="X29" s="50"/>
      <c r="Y29" s="50"/>
      <c r="Z29" s="50"/>
    </row>
    <row r="30" spans="1:26" ht="15.75" customHeight="1" x14ac:dyDescent="0.35">
      <c r="A30" s="50"/>
      <c r="B30" s="89">
        <v>2031</v>
      </c>
      <c r="C30" s="223" t="s">
        <v>332</v>
      </c>
      <c r="D30" s="298">
        <v>175</v>
      </c>
      <c r="E30" s="91"/>
      <c r="F30" s="91"/>
      <c r="G30" s="91"/>
      <c r="H30" s="91"/>
      <c r="I30" s="91"/>
      <c r="J30" s="91"/>
      <c r="K30" s="92"/>
      <c r="L30" s="50"/>
      <c r="M30" s="50"/>
      <c r="N30" s="50"/>
      <c r="O30" s="50"/>
      <c r="P30" s="50"/>
      <c r="Q30" s="50"/>
      <c r="R30" s="50"/>
      <c r="S30" s="50"/>
      <c r="T30" s="50"/>
      <c r="U30" s="50"/>
      <c r="V30" s="50"/>
      <c r="W30" s="50"/>
      <c r="X30" s="50"/>
      <c r="Y30" s="50"/>
      <c r="Z30" s="50"/>
    </row>
    <row r="31" spans="1:26" ht="15.75" customHeight="1" x14ac:dyDescent="0.35">
      <c r="A31" s="50"/>
      <c r="B31" s="233" t="s">
        <v>349</v>
      </c>
      <c r="C31" s="234" t="s">
        <v>109</v>
      </c>
      <c r="D31" s="235">
        <f>'1.Red. Purch. Cost Patient Care'!D68</f>
        <v>0.05</v>
      </c>
      <c r="E31" s="109"/>
      <c r="F31" s="109"/>
      <c r="G31" s="109"/>
      <c r="H31" s="109"/>
      <c r="I31" s="109"/>
      <c r="J31" s="109"/>
      <c r="K31" s="158"/>
      <c r="L31" s="50"/>
      <c r="M31" s="50"/>
      <c r="N31" s="50"/>
      <c r="O31" s="50"/>
      <c r="P31" s="50"/>
      <c r="Q31" s="50"/>
      <c r="R31" s="50"/>
      <c r="S31" s="50"/>
      <c r="T31" s="50"/>
      <c r="U31" s="50"/>
      <c r="V31" s="50"/>
      <c r="W31" s="50"/>
      <c r="X31" s="50"/>
      <c r="Y31" s="50"/>
      <c r="Z31" s="50"/>
    </row>
    <row r="32" spans="1:26" ht="15.75" customHeight="1" x14ac:dyDescent="0.35">
      <c r="A32" s="50"/>
      <c r="B32" s="190"/>
      <c r="C32" s="47"/>
      <c r="D32" s="311"/>
      <c r="E32" s="50"/>
      <c r="F32" s="50"/>
      <c r="G32" s="50"/>
      <c r="H32" s="50"/>
      <c r="I32" s="50"/>
      <c r="J32" s="50"/>
      <c r="K32" s="50"/>
      <c r="L32" s="50"/>
      <c r="M32" s="50"/>
      <c r="N32" s="50"/>
      <c r="O32" s="50"/>
      <c r="P32" s="50"/>
      <c r="Q32" s="50"/>
      <c r="R32" s="50"/>
      <c r="S32" s="50"/>
      <c r="T32" s="50"/>
      <c r="U32" s="50"/>
      <c r="V32" s="50"/>
      <c r="W32" s="50"/>
      <c r="X32" s="50"/>
      <c r="Y32" s="50"/>
      <c r="Z32" s="50"/>
    </row>
    <row r="33" spans="1:26" ht="15.75" customHeight="1" x14ac:dyDescent="0.35">
      <c r="A33" s="50"/>
      <c r="B33" s="35" t="s">
        <v>55</v>
      </c>
      <c r="C33" s="36"/>
      <c r="D33" s="565" t="s">
        <v>129</v>
      </c>
      <c r="E33" s="552"/>
      <c r="F33" s="553"/>
      <c r="G33" s="112" t="s">
        <v>130</v>
      </c>
      <c r="H33" s="38"/>
      <c r="I33" s="38"/>
      <c r="J33" s="38"/>
      <c r="K33" s="38"/>
      <c r="L33" s="38"/>
      <c r="M33" s="38"/>
      <c r="N33" s="38"/>
      <c r="O33" s="38"/>
      <c r="P33" s="39"/>
      <c r="Q33" s="50"/>
      <c r="R33" s="50"/>
      <c r="S33" s="50"/>
      <c r="T33" s="50"/>
      <c r="U33" s="50"/>
      <c r="V33" s="50"/>
      <c r="W33" s="50"/>
      <c r="X33" s="50"/>
      <c r="Y33" s="50"/>
      <c r="Z33" s="50"/>
    </row>
    <row r="34" spans="1:26" ht="15.75" customHeight="1" x14ac:dyDescent="0.35">
      <c r="A34" s="50"/>
      <c r="B34" s="40"/>
      <c r="C34" s="41"/>
      <c r="D34" s="42">
        <v>1</v>
      </c>
      <c r="E34" s="43">
        <f>+D34+1</f>
        <v>2</v>
      </c>
      <c r="F34" s="43">
        <f t="shared" ref="F34:P34" si="0">E34+1</f>
        <v>3</v>
      </c>
      <c r="G34" s="43">
        <f t="shared" si="0"/>
        <v>4</v>
      </c>
      <c r="H34" s="43">
        <f t="shared" si="0"/>
        <v>5</v>
      </c>
      <c r="I34" s="43">
        <f t="shared" si="0"/>
        <v>6</v>
      </c>
      <c r="J34" s="43">
        <f t="shared" si="0"/>
        <v>7</v>
      </c>
      <c r="K34" s="43">
        <f t="shared" si="0"/>
        <v>8</v>
      </c>
      <c r="L34" s="43">
        <f t="shared" si="0"/>
        <v>9</v>
      </c>
      <c r="M34" s="43">
        <f t="shared" si="0"/>
        <v>10</v>
      </c>
      <c r="N34" s="43">
        <f t="shared" si="0"/>
        <v>11</v>
      </c>
      <c r="O34" s="43">
        <f t="shared" si="0"/>
        <v>12</v>
      </c>
      <c r="P34" s="114">
        <f t="shared" si="0"/>
        <v>13</v>
      </c>
      <c r="Q34" s="50"/>
      <c r="R34" s="50"/>
      <c r="S34" s="50"/>
      <c r="T34" s="50"/>
      <c r="U34" s="50"/>
      <c r="V34" s="50"/>
      <c r="W34" s="50"/>
      <c r="X34" s="50"/>
      <c r="Y34" s="50"/>
      <c r="Z34" s="50"/>
    </row>
    <row r="35" spans="1:26" ht="15.75" customHeight="1" x14ac:dyDescent="0.35">
      <c r="A35" s="50"/>
      <c r="B35" s="46" t="s">
        <v>336</v>
      </c>
      <c r="C35" s="47"/>
      <c r="D35" s="48"/>
      <c r="E35" s="48"/>
      <c r="F35" s="48"/>
      <c r="G35" s="49"/>
      <c r="H35" s="49"/>
      <c r="I35" s="49"/>
      <c r="J35" s="49"/>
      <c r="K35" s="49"/>
      <c r="L35" s="49"/>
      <c r="M35" s="49"/>
      <c r="N35" s="50"/>
      <c r="O35" s="50"/>
      <c r="P35" s="115"/>
      <c r="Q35" s="50"/>
      <c r="R35" s="50"/>
      <c r="S35" s="50"/>
      <c r="T35" s="50"/>
      <c r="U35" s="50"/>
      <c r="V35" s="50"/>
      <c r="W35" s="50"/>
      <c r="X35" s="50"/>
      <c r="Y35" s="50"/>
      <c r="Z35" s="50"/>
    </row>
    <row r="36" spans="1:26" ht="15.75" customHeight="1" x14ac:dyDescent="0.35">
      <c r="A36" s="50"/>
      <c r="B36" s="53" t="s">
        <v>165</v>
      </c>
      <c r="C36" s="54" t="s">
        <v>94</v>
      </c>
      <c r="D36" s="49">
        <f>'1.Red. Purchase Cost Vasc.'!D76+'Red. Purch. Cost Vascular-New'!D62</f>
        <v>4211</v>
      </c>
      <c r="E36" s="49">
        <f>'1.Red. Purchase Cost Vasc.'!E76+'Red. Purch. Cost Vascular-New'!E62</f>
        <v>3244</v>
      </c>
      <c r="F36" s="49">
        <f>'1.Red. Purchase Cost Vasc.'!F76+'Red. Purch. Cost Vascular-New'!F62</f>
        <v>3051.1</v>
      </c>
      <c r="G36" s="49">
        <f>'1.Red. Purchase Cost Vasc.'!G76+'Red. Purch. Cost Vascular-New'!G62</f>
        <v>3162.8510000000001</v>
      </c>
      <c r="H36" s="49">
        <f>'1.Red. Purchase Cost Vasc.'!H76+'Red. Purch. Cost Vascular-New'!H62</f>
        <v>3279.7815100000003</v>
      </c>
      <c r="I36" s="49">
        <f>'1.Red. Purchase Cost Vasc.'!I76+'Red. Purch. Cost Vascular-New'!I62</f>
        <v>3402.1464251000007</v>
      </c>
      <c r="J36" s="49">
        <f>'1.Red. Purchase Cost Vasc.'!J76+'Red. Purch. Cost Vascular-New'!J62</f>
        <v>3530.2133443510006</v>
      </c>
      <c r="K36" s="49">
        <f>'1.Red. Purchase Cost Vasc.'!K76+'Red. Purch. Cost Vascular-New'!K62</f>
        <v>3664.263205544511</v>
      </c>
      <c r="L36" s="49">
        <f>'1.Red. Purchase Cost Vasc.'!L76+'Red. Purch. Cost Vascular-New'!L62</f>
        <v>3804.5909517374562</v>
      </c>
      <c r="M36" s="49">
        <f>'1.Red. Purchase Cost Vasc.'!M76+'Red. Purch. Cost Vascular-New'!M62</f>
        <v>3951.5062310992062</v>
      </c>
      <c r="N36" s="49">
        <f>'1.Red. Purchase Cost Vasc.'!N76+'Red. Purch. Cost Vascular-New'!N62</f>
        <v>4105.3341317467921</v>
      </c>
      <c r="O36" s="49">
        <f>'1.Red. Purchase Cost Vasc.'!O76+'Red. Purch. Cost Vascular-New'!O62</f>
        <v>4266.4159533176835</v>
      </c>
      <c r="P36" s="117">
        <f>'1.Red. Purchase Cost Vasc.'!P76+'Red. Purch. Cost Vascular-New'!P62</f>
        <v>4435.1100171169555</v>
      </c>
      <c r="Q36" s="50"/>
      <c r="R36" s="50"/>
      <c r="S36" s="50"/>
      <c r="T36" s="50"/>
      <c r="U36" s="50"/>
      <c r="V36" s="50"/>
      <c r="W36" s="50"/>
      <c r="X36" s="50"/>
      <c r="Y36" s="50"/>
      <c r="Z36" s="50"/>
    </row>
    <row r="37" spans="1:26" ht="15.75" customHeight="1" x14ac:dyDescent="0.35">
      <c r="A37" s="50"/>
      <c r="B37" s="53" t="s">
        <v>166</v>
      </c>
      <c r="C37" s="54" t="s">
        <v>94</v>
      </c>
      <c r="D37" s="49">
        <f>'1.Red. Purchase Cost Vasc.'!D77+'Red. Purch. Cost Vascular-New'!D63</f>
        <v>1158</v>
      </c>
      <c r="E37" s="49">
        <f>'1.Red. Purchase Cost Vasc.'!E77+'Red. Purch. Cost Vascular-New'!E63</f>
        <v>1296</v>
      </c>
      <c r="F37" s="49">
        <f>'1.Red. Purchase Cost Vasc.'!F77+'Red. Purch. Cost Vascular-New'!F63</f>
        <v>1495.1</v>
      </c>
      <c r="G37" s="49">
        <f>'1.Red. Purchase Cost Vasc.'!G77+'Red. Purch. Cost Vascular-New'!G63</f>
        <v>1529.0509999999999</v>
      </c>
      <c r="H37" s="49">
        <f>'1.Red. Purchase Cost Vasc.'!H77+'Red. Purch. Cost Vascular-New'!H63</f>
        <v>1564.29151</v>
      </c>
      <c r="I37" s="49">
        <f>'1.Red. Purchase Cost Vasc.'!I77+'Red. Purch. Cost Vascular-New'!I63</f>
        <v>1600.8819251</v>
      </c>
      <c r="J37" s="49">
        <f>'1.Red. Purchase Cost Vasc.'!J77+'Red. Purch. Cost Vascular-New'!J63</f>
        <v>1638.8856193510001</v>
      </c>
      <c r="K37" s="49">
        <f>'1.Red. Purchase Cost Vasc.'!K77+'Red. Purch. Cost Vascular-New'!K63</f>
        <v>1678.36909429451</v>
      </c>
      <c r="L37" s="49">
        <f>'1.Red. Purchase Cost Vasc.'!L77+'Red. Purch. Cost Vascular-New'!L63</f>
        <v>1719.4021349249551</v>
      </c>
      <c r="M37" s="49">
        <f>'1.Red. Purchase Cost Vasc.'!M77+'Red. Purch. Cost Vascular-New'!M63</f>
        <v>1762.0579734460798</v>
      </c>
      <c r="N37" s="49">
        <f>'1.Red. Purchase Cost Vasc.'!N77+'Red. Purch. Cost Vascular-New'!N63</f>
        <v>1806.4134612110095</v>
      </c>
      <c r="O37" s="49">
        <f>'1.Red. Purchase Cost Vasc.'!O77+'Red. Purch. Cost Vascular-New'!O63</f>
        <v>1852.5492492551116</v>
      </c>
      <c r="P37" s="117">
        <f>'1.Red. Purchase Cost Vasc.'!P77+'Red. Purch. Cost Vascular-New'!P63</f>
        <v>1900.5499778512549</v>
      </c>
      <c r="Q37" s="50"/>
      <c r="R37" s="50"/>
      <c r="S37" s="50"/>
      <c r="T37" s="50"/>
      <c r="U37" s="50"/>
      <c r="V37" s="50"/>
      <c r="W37" s="50"/>
      <c r="X37" s="50"/>
      <c r="Y37" s="50"/>
      <c r="Z37" s="50"/>
    </row>
    <row r="38" spans="1:26" ht="15.75" customHeight="1" x14ac:dyDescent="0.35">
      <c r="A38" s="50"/>
      <c r="B38" s="53" t="s">
        <v>167</v>
      </c>
      <c r="C38" s="54" t="s">
        <v>94</v>
      </c>
      <c r="D38" s="49">
        <f>'1.Red. Purchase Cost Vasc.'!D78+'Red. Purch. Cost Vascular-New'!D64</f>
        <v>2264</v>
      </c>
      <c r="E38" s="49">
        <f>'1.Red. Purchase Cost Vasc.'!E78+'Red. Purch. Cost Vascular-New'!E64</f>
        <v>2050</v>
      </c>
      <c r="F38" s="49">
        <f>'1.Red. Purchase Cost Vasc.'!F78+'Red. Purch. Cost Vascular-New'!F64</f>
        <v>2290.1</v>
      </c>
      <c r="G38" s="49">
        <f>'1.Red. Purchase Cost Vasc.'!G78+'Red. Purch. Cost Vascular-New'!G64</f>
        <v>2363.8009999999999</v>
      </c>
      <c r="H38" s="49">
        <f>'1.Red. Purchase Cost Vasc.'!H78+'Red. Purch. Cost Vascular-New'!H64</f>
        <v>2440.7790100000002</v>
      </c>
      <c r="I38" s="49">
        <f>'1.Red. Purchase Cost Vasc.'!I78+'Red. Purch. Cost Vascular-New'!I64</f>
        <v>2521.1938000999999</v>
      </c>
      <c r="J38" s="49">
        <f>'1.Red. Purchase Cost Vasc.'!J78+'Red. Purch. Cost Vascular-New'!J64</f>
        <v>2605.2130881009998</v>
      </c>
      <c r="K38" s="49">
        <f>'1.Red. Purchase Cost Vasc.'!K78+'Red. Purch. Cost Vascular-New'!K64</f>
        <v>2693.0129364820095</v>
      </c>
      <c r="L38" s="49">
        <f>'1.Red. Purchase Cost Vasc.'!L78+'Red. Purch. Cost Vascular-New'!L64</f>
        <v>2784.77816922183</v>
      </c>
      <c r="M38" s="49">
        <f>'1.Red. Purchase Cost Vasc.'!M78+'Red. Purch. Cost Vascular-New'!M64</f>
        <v>2880.7028094577986</v>
      </c>
      <c r="N38" s="49">
        <f>'1.Red. Purchase Cost Vasc.'!N78+'Red. Purch. Cost Vascular-New'!N64</f>
        <v>2980.9905390233143</v>
      </c>
      <c r="O38" s="49">
        <f>'1.Red. Purchase Cost Vasc.'!O78+'Red. Purch. Cost Vascular-New'!O64</f>
        <v>3085.8551809580317</v>
      </c>
      <c r="P38" s="117">
        <f>'1.Red. Purchase Cost Vasc.'!P78+'Red. Purch. Cost Vascular-New'!P64</f>
        <v>3195.5212061393204</v>
      </c>
      <c r="Q38" s="50"/>
      <c r="R38" s="50"/>
      <c r="S38" s="50"/>
      <c r="T38" s="50"/>
      <c r="U38" s="50"/>
      <c r="V38" s="50"/>
      <c r="W38" s="50"/>
      <c r="X38" s="50"/>
      <c r="Y38" s="50"/>
      <c r="Z38" s="50"/>
    </row>
    <row r="39" spans="1:26" ht="15.75" customHeight="1" x14ac:dyDescent="0.35">
      <c r="A39" s="50"/>
      <c r="B39" s="53" t="s">
        <v>169</v>
      </c>
      <c r="C39" s="54" t="s">
        <v>94</v>
      </c>
      <c r="D39" s="49">
        <f>'1.Red. Purchase Cost Vasc.'!D79+'Red. Purch. Cost Vascular-New'!D65</f>
        <v>1120</v>
      </c>
      <c r="E39" s="49">
        <f>'1.Red. Purchase Cost Vasc.'!E79+'Red. Purch. Cost Vascular-New'!E65</f>
        <v>1078</v>
      </c>
      <c r="F39" s="49">
        <f>'1.Red. Purchase Cost Vasc.'!F79+'Red. Purch. Cost Vascular-New'!F65</f>
        <v>1078.0999999999999</v>
      </c>
      <c r="G39" s="49">
        <f>'1.Red. Purchase Cost Vasc.'!G79+'Red. Purch. Cost Vascular-New'!G65</f>
        <v>1091.201</v>
      </c>
      <c r="H39" s="49">
        <f>'1.Red. Purchase Cost Vasc.'!H79+'Red. Purch. Cost Vascular-New'!H65</f>
        <v>1104.54901</v>
      </c>
      <c r="I39" s="49">
        <f>'1.Red. Purchase Cost Vasc.'!I79+'Red. Purch. Cost Vascular-New'!I65</f>
        <v>1118.1523001</v>
      </c>
      <c r="J39" s="49">
        <f>'1.Red. Purchase Cost Vasc.'!J79+'Red. Purch. Cost Vascular-New'!J65</f>
        <v>1132.0195131009998</v>
      </c>
      <c r="K39" s="49">
        <f>'1.Red. Purchase Cost Vasc.'!K79+'Red. Purch. Cost Vascular-New'!K65</f>
        <v>1146.1596827320097</v>
      </c>
      <c r="L39" s="49">
        <f>'1.Red. Purchase Cost Vasc.'!L79+'Red. Purch. Cost Vascular-New'!L65</f>
        <v>1160.58225278433</v>
      </c>
      <c r="M39" s="49">
        <f>'1.Red. Purchase Cost Vasc.'!M79+'Red. Purch. Cost Vascular-New'!M65</f>
        <v>1175.2970971984232</v>
      </c>
      <c r="N39" s="49">
        <f>'1.Red. Purchase Cost Vasc.'!N79+'Red. Purch. Cost Vascular-New'!N65</f>
        <v>1190.3145411509702</v>
      </c>
      <c r="O39" s="49">
        <f>'1.Red. Purchase Cost Vasc.'!O79+'Red. Purch. Cost Vascular-New'!O65</f>
        <v>1205.6453831920703</v>
      </c>
      <c r="P39" s="117">
        <f>'1.Red. Purchase Cost Vasc.'!P79+'Red. Purch. Cost Vascular-New'!P65</f>
        <v>1221.3009184850614</v>
      </c>
      <c r="Q39" s="50"/>
      <c r="R39" s="50"/>
      <c r="S39" s="50"/>
      <c r="T39" s="50"/>
      <c r="U39" s="50"/>
      <c r="V39" s="50"/>
      <c r="W39" s="50"/>
      <c r="X39" s="50"/>
      <c r="Y39" s="50"/>
      <c r="Z39" s="50"/>
    </row>
    <row r="40" spans="1:26" ht="15.75" customHeight="1" x14ac:dyDescent="0.35">
      <c r="A40" s="50"/>
      <c r="B40" s="53" t="s">
        <v>170</v>
      </c>
      <c r="C40" s="54" t="s">
        <v>94</v>
      </c>
      <c r="D40" s="49">
        <f>'1.Red. Purchase Cost Vasc.'!D80+'Red. Purch. Cost Vascular-New'!D66</f>
        <v>1000</v>
      </c>
      <c r="E40" s="49">
        <f>'1.Red. Purchase Cost Vasc.'!E80+'Red. Purch. Cost Vascular-New'!E66</f>
        <v>1010</v>
      </c>
      <c r="F40" s="49">
        <f>'1.Red. Purchase Cost Vasc.'!F80+'Red. Purch. Cost Vascular-New'!F66</f>
        <v>1020.1</v>
      </c>
      <c r="G40" s="49">
        <f>'1.Red. Purchase Cost Vasc.'!G80+'Red. Purch. Cost Vascular-New'!G66</f>
        <v>1030.3009999999999</v>
      </c>
      <c r="H40" s="49">
        <f>'1.Red. Purchase Cost Vasc.'!H80+'Red. Purch. Cost Vascular-New'!H66</f>
        <v>1040.60401</v>
      </c>
      <c r="I40" s="49">
        <f>'1.Red. Purchase Cost Vasc.'!I80+'Red. Purch. Cost Vascular-New'!I66</f>
        <v>1051.0100500999999</v>
      </c>
      <c r="J40" s="49">
        <f>'1.Red. Purchase Cost Vasc.'!J80+'Red. Purch. Cost Vascular-New'!J66</f>
        <v>1061.5201506009998</v>
      </c>
      <c r="K40" s="49">
        <f>'1.Red. Purchase Cost Vasc.'!K80+'Red. Purch. Cost Vascular-New'!K66</f>
        <v>1072.1353521070098</v>
      </c>
      <c r="L40" s="49">
        <f>'1.Red. Purchase Cost Vasc.'!L80+'Red. Purch. Cost Vascular-New'!L66</f>
        <v>1082.8567056280799</v>
      </c>
      <c r="M40" s="49">
        <f>'1.Red. Purchase Cost Vasc.'!M80+'Red. Purch. Cost Vascular-New'!M66</f>
        <v>1093.6852726843608</v>
      </c>
      <c r="N40" s="49">
        <f>'1.Red. Purchase Cost Vasc.'!N80+'Red. Purch. Cost Vascular-New'!N66</f>
        <v>1104.6221254112045</v>
      </c>
      <c r="O40" s="49">
        <f>'1.Red. Purchase Cost Vasc.'!O80+'Red. Purch. Cost Vascular-New'!O66</f>
        <v>1115.6683466653164</v>
      </c>
      <c r="P40" s="117">
        <f>'1.Red. Purchase Cost Vasc.'!P80+'Red. Purch. Cost Vascular-New'!P66</f>
        <v>1126.8250301319697</v>
      </c>
      <c r="Q40" s="50"/>
      <c r="R40" s="50"/>
      <c r="S40" s="50"/>
      <c r="T40" s="50"/>
      <c r="U40" s="50"/>
      <c r="V40" s="50"/>
      <c r="W40" s="50"/>
      <c r="X40" s="50"/>
      <c r="Y40" s="50"/>
      <c r="Z40" s="50"/>
    </row>
    <row r="41" spans="1:26" ht="15.75" customHeight="1" x14ac:dyDescent="0.35">
      <c r="A41" s="50"/>
      <c r="B41" s="53" t="s">
        <v>171</v>
      </c>
      <c r="C41" s="54" t="s">
        <v>94</v>
      </c>
      <c r="D41" s="49">
        <f>'1.Red. Purchase Cost Vasc.'!D81+'Red. Purch. Cost Vascular-New'!D67</f>
        <v>5753</v>
      </c>
      <c r="E41" s="49">
        <f>'1.Red. Purchase Cost Vasc.'!E81+'Red. Purch. Cost Vascular-New'!E67</f>
        <v>4638</v>
      </c>
      <c r="F41" s="49">
        <f>'1.Red. Purchase Cost Vasc.'!F81+'Red. Purch. Cost Vascular-New'!F67</f>
        <v>4854.1000000000004</v>
      </c>
      <c r="G41" s="49">
        <f>'1.Red. Purchase Cost Vasc.'!G81+'Red. Purch. Cost Vascular-New'!G67</f>
        <v>5056.0010000000002</v>
      </c>
      <c r="H41" s="49">
        <f>'1.Red. Purchase Cost Vasc.'!H81+'Red. Purch. Cost Vascular-New'!H67</f>
        <v>5267.5890099999997</v>
      </c>
      <c r="I41" s="49">
        <f>'1.Red. Purchase Cost Vasc.'!I81+'Red. Purch. Cost Vascular-New'!I67</f>
        <v>5489.3443001000005</v>
      </c>
      <c r="J41" s="49">
        <f>'1.Red. Purchase Cost Vasc.'!J81+'Red. Purch. Cost Vascular-New'!J67</f>
        <v>5721.771113101001</v>
      </c>
      <c r="K41" s="49">
        <f>'1.Red. Purchase Cost Vasc.'!K81+'Red. Purch. Cost Vascular-New'!K67</f>
        <v>5965.3988627320114</v>
      </c>
      <c r="L41" s="49">
        <f>'1.Red. Purchase Cost Vasc.'!L81+'Red. Purch. Cost Vascular-New'!L67</f>
        <v>6220.7833917843318</v>
      </c>
      <c r="M41" s="49">
        <f>'1.Red. Purchase Cost Vasc.'!M81+'Red. Purch. Cost Vascular-New'!M67</f>
        <v>6488.5082931484249</v>
      </c>
      <c r="N41" s="49">
        <f>'1.Red. Purchase Cost Vasc.'!N81+'Red. Purch. Cost Vascular-New'!N67</f>
        <v>6769.1862968984724</v>
      </c>
      <c r="O41" s="49">
        <f>'1.Red. Purchase Cost Vasc.'!O81+'Red. Purch. Cost Vascular-New'!O67</f>
        <v>7063.4607267269485</v>
      </c>
      <c r="P41" s="117">
        <f>'1.Red. Purchase Cost Vasc.'!P81+'Red. Purch. Cost Vascular-New'!P67</f>
        <v>7372.0070291966822</v>
      </c>
      <c r="Q41" s="50"/>
      <c r="R41" s="50"/>
      <c r="S41" s="50"/>
      <c r="T41" s="50"/>
      <c r="U41" s="50"/>
      <c r="V41" s="50"/>
      <c r="W41" s="50"/>
      <c r="X41" s="50"/>
      <c r="Y41" s="50"/>
      <c r="Z41" s="50"/>
    </row>
    <row r="42" spans="1:26" ht="15.75" customHeight="1" x14ac:dyDescent="0.35">
      <c r="A42" s="50"/>
      <c r="B42" s="53" t="s">
        <v>172</v>
      </c>
      <c r="C42" s="54" t="s">
        <v>94</v>
      </c>
      <c r="D42" s="49">
        <f>'1.Red. Purchase Cost Vasc.'!D82+'Red. Purch. Cost Vascular-New'!D68</f>
        <v>1000</v>
      </c>
      <c r="E42" s="49">
        <f>'1.Red. Purchase Cost Vasc.'!E82+'Red. Purch. Cost Vascular-New'!E68</f>
        <v>1010</v>
      </c>
      <c r="F42" s="49">
        <f>'1.Red. Purchase Cost Vasc.'!F82+'Red. Purch. Cost Vascular-New'!F68</f>
        <v>1020.1</v>
      </c>
      <c r="G42" s="49">
        <f>'1.Red. Purchase Cost Vasc.'!G82+'Red. Purch. Cost Vascular-New'!G68</f>
        <v>1030.3009999999999</v>
      </c>
      <c r="H42" s="49">
        <f>'1.Red. Purchase Cost Vasc.'!H82+'Red. Purch. Cost Vascular-New'!H68</f>
        <v>1040.60401</v>
      </c>
      <c r="I42" s="49">
        <f>'1.Red. Purchase Cost Vasc.'!I82+'Red. Purch. Cost Vascular-New'!I68</f>
        <v>1051.0100500999999</v>
      </c>
      <c r="J42" s="49">
        <f>'1.Red. Purchase Cost Vasc.'!J82+'Red. Purch. Cost Vascular-New'!J68</f>
        <v>1061.5201506009998</v>
      </c>
      <c r="K42" s="49">
        <f>'1.Red. Purchase Cost Vasc.'!K82+'Red. Purch. Cost Vascular-New'!K68</f>
        <v>1072.1353521070098</v>
      </c>
      <c r="L42" s="49">
        <f>'1.Red. Purchase Cost Vasc.'!L82+'Red. Purch. Cost Vascular-New'!L68</f>
        <v>1082.8567056280799</v>
      </c>
      <c r="M42" s="49">
        <f>'1.Red. Purchase Cost Vasc.'!M82+'Red. Purch. Cost Vascular-New'!M68</f>
        <v>1093.6852726843608</v>
      </c>
      <c r="N42" s="49">
        <f>'1.Red. Purchase Cost Vasc.'!N82+'Red. Purch. Cost Vascular-New'!N68</f>
        <v>1104.6221254112045</v>
      </c>
      <c r="O42" s="49">
        <f>'1.Red. Purchase Cost Vasc.'!O82+'Red. Purch. Cost Vascular-New'!O68</f>
        <v>1115.6683466653164</v>
      </c>
      <c r="P42" s="117">
        <f>'1.Red. Purchase Cost Vasc.'!P82+'Red. Purch. Cost Vascular-New'!P68</f>
        <v>1126.8250301319697</v>
      </c>
      <c r="Q42" s="50"/>
      <c r="R42" s="50"/>
      <c r="S42" s="50"/>
      <c r="T42" s="50"/>
      <c r="U42" s="50"/>
      <c r="V42" s="50"/>
      <c r="W42" s="50"/>
      <c r="X42" s="50"/>
      <c r="Y42" s="50"/>
      <c r="Z42" s="50"/>
    </row>
    <row r="43" spans="1:26" ht="15.75" customHeight="1" x14ac:dyDescent="0.35">
      <c r="A43" s="50"/>
      <c r="B43" s="53" t="s">
        <v>173</v>
      </c>
      <c r="C43" s="54" t="s">
        <v>94</v>
      </c>
      <c r="D43" s="49">
        <f>'1.Red. Purchase Cost Vasc.'!D83+'Red. Purch. Cost Vascular-New'!D69</f>
        <v>1124.7041420118344</v>
      </c>
      <c r="E43" s="49">
        <f>'1.Red. Purchase Cost Vasc.'!E83+'Red. Purch. Cost Vascular-New'!E69</f>
        <v>1125.360340196956</v>
      </c>
      <c r="F43" s="49">
        <f>'1.Red. Purchase Cost Vasc.'!F83+'Red. Purch. Cost Vascular-New'!F69</f>
        <v>1112.7888232397834</v>
      </c>
      <c r="G43" s="49">
        <f>'1.Red. Purchase Cost Vasc.'!G83+'Red. Purch. Cost Vascular-New'!G69</f>
        <v>1122.9898232397834</v>
      </c>
      <c r="H43" s="49">
        <f>'1.Red. Purchase Cost Vasc.'!H83+'Red. Purch. Cost Vascular-New'!H69</f>
        <v>1133.2928332397835</v>
      </c>
      <c r="I43" s="49">
        <f>'1.Red. Purchase Cost Vasc.'!I83+'Red. Purch. Cost Vascular-New'!I69</f>
        <v>1143.6988733397834</v>
      </c>
      <c r="J43" s="49">
        <f>'1.Red. Purchase Cost Vasc.'!J83+'Red. Purch. Cost Vascular-New'!J69</f>
        <v>1154.2089738407833</v>
      </c>
      <c r="K43" s="49">
        <f>'1.Red. Purchase Cost Vasc.'!K83+'Red. Purch. Cost Vascular-New'!K69</f>
        <v>1164.8241753467933</v>
      </c>
      <c r="L43" s="49">
        <f>'1.Red. Purchase Cost Vasc.'!L83+'Red. Purch. Cost Vascular-New'!L69</f>
        <v>1175.5455288678634</v>
      </c>
      <c r="M43" s="49">
        <f>'1.Red. Purchase Cost Vasc.'!M83+'Red. Purch. Cost Vascular-New'!M69</f>
        <v>1186.3740959241443</v>
      </c>
      <c r="N43" s="49">
        <f>'1.Red. Purchase Cost Vasc.'!N83+'Red. Purch. Cost Vascular-New'!N69</f>
        <v>1197.3109486509879</v>
      </c>
      <c r="O43" s="49">
        <f>'1.Red. Purchase Cost Vasc.'!O83+'Red. Purch. Cost Vascular-New'!O69</f>
        <v>1208.3571699050999</v>
      </c>
      <c r="P43" s="117">
        <f>'1.Red. Purchase Cost Vasc.'!P83+'Red. Purch. Cost Vascular-New'!P69</f>
        <v>1219.5138533717532</v>
      </c>
      <c r="Q43" s="50"/>
      <c r="R43" s="50"/>
      <c r="S43" s="50"/>
      <c r="T43" s="50"/>
      <c r="U43" s="50"/>
      <c r="V43" s="50"/>
      <c r="W43" s="50"/>
      <c r="X43" s="50"/>
      <c r="Y43" s="50"/>
      <c r="Z43" s="50"/>
    </row>
    <row r="44" spans="1:26" ht="15.75" customHeight="1" x14ac:dyDescent="0.35">
      <c r="A44" s="50"/>
      <c r="B44" s="53" t="s">
        <v>174</v>
      </c>
      <c r="C44" s="54" t="s">
        <v>94</v>
      </c>
      <c r="D44" s="49">
        <f>'1.Red. Purchase Cost Vasc.'!D84+'Red. Purch. Cost Vascular-New'!D70</f>
        <v>2080.8924050632913</v>
      </c>
      <c r="E44" s="49">
        <f>'1.Red. Purchase Cost Vasc.'!E84+'Red. Purch. Cost Vascular-New'!E70</f>
        <v>2295.5769230769229</v>
      </c>
      <c r="F44" s="49">
        <f>'1.Red. Purchase Cost Vasc.'!F84+'Red. Purch. Cost Vascular-New'!F70</f>
        <v>2502.5105263157893</v>
      </c>
      <c r="G44" s="49">
        <f>'1.Red. Purchase Cost Vasc.'!G84+'Red. Purch. Cost Vascular-New'!G70</f>
        <v>2512.7115263157893</v>
      </c>
      <c r="H44" s="49">
        <f>'1.Red. Purchase Cost Vasc.'!H84+'Red. Purch. Cost Vascular-New'!H70</f>
        <v>2523.0145363157894</v>
      </c>
      <c r="I44" s="49">
        <f>'1.Red. Purchase Cost Vasc.'!I84+'Red. Purch. Cost Vascular-New'!I70</f>
        <v>2533.4205764157896</v>
      </c>
      <c r="J44" s="49">
        <f>'1.Red. Purchase Cost Vasc.'!J84+'Red. Purch. Cost Vascular-New'!J70</f>
        <v>2543.9306769167893</v>
      </c>
      <c r="K44" s="49">
        <f>'1.Red. Purchase Cost Vasc.'!K84+'Red. Purch. Cost Vascular-New'!K70</f>
        <v>2554.5458784227994</v>
      </c>
      <c r="L44" s="49">
        <f>'1.Red. Purchase Cost Vasc.'!L84+'Red. Purch. Cost Vascular-New'!L70</f>
        <v>2565.2672319438693</v>
      </c>
      <c r="M44" s="49">
        <f>'1.Red. Purchase Cost Vasc.'!M84+'Red. Purch. Cost Vascular-New'!M70</f>
        <v>2576.0957990001502</v>
      </c>
      <c r="N44" s="49">
        <f>'1.Red. Purchase Cost Vasc.'!N84+'Red. Purch. Cost Vascular-New'!N70</f>
        <v>2587.0326517269941</v>
      </c>
      <c r="O44" s="49">
        <f>'1.Red. Purchase Cost Vasc.'!O84+'Red. Purch. Cost Vascular-New'!O70</f>
        <v>2598.0788729811056</v>
      </c>
      <c r="P44" s="117">
        <f>'1.Red. Purchase Cost Vasc.'!P84+'Red. Purch. Cost Vascular-New'!P70</f>
        <v>2609.2355564477593</v>
      </c>
      <c r="Q44" s="50"/>
      <c r="R44" s="50"/>
      <c r="S44" s="50"/>
      <c r="T44" s="50"/>
      <c r="U44" s="50"/>
      <c r="V44" s="50"/>
      <c r="W44" s="50"/>
      <c r="X44" s="50"/>
      <c r="Y44" s="50"/>
      <c r="Z44" s="50"/>
    </row>
    <row r="45" spans="1:26" ht="15.75" customHeight="1" x14ac:dyDescent="0.35">
      <c r="A45" s="50"/>
      <c r="B45" s="53" t="s">
        <v>175</v>
      </c>
      <c r="C45" s="54" t="s">
        <v>94</v>
      </c>
      <c r="D45" s="49">
        <f>'1.Red. Purchase Cost Vasc.'!D85+'Red. Purch. Cost Vascular-New'!D71</f>
        <v>1122.2927215189873</v>
      </c>
      <c r="E45" s="49">
        <f>'1.Red. Purchase Cost Vasc.'!E85+'Red. Purch. Cost Vascular-New'!E71</f>
        <v>1132.185576923077</v>
      </c>
      <c r="F45" s="49">
        <f>'1.Red. Purchase Cost Vasc.'!F85+'Red. Purch. Cost Vascular-New'!F71</f>
        <v>1135.0637795275591</v>
      </c>
      <c r="G45" s="49">
        <f>'1.Red. Purchase Cost Vasc.'!G85+'Red. Purch. Cost Vascular-New'!G71</f>
        <v>1145.2647795275591</v>
      </c>
      <c r="H45" s="49">
        <f>'1.Red. Purchase Cost Vasc.'!H85+'Red. Purch. Cost Vascular-New'!H71</f>
        <v>1155.5677895275592</v>
      </c>
      <c r="I45" s="49">
        <f>'1.Red. Purchase Cost Vasc.'!I85+'Red. Purch. Cost Vascular-New'!I71</f>
        <v>1165.9738296275591</v>
      </c>
      <c r="J45" s="49">
        <f>'1.Red. Purchase Cost Vasc.'!J85+'Red. Purch. Cost Vascular-New'!J71</f>
        <v>1176.483930128559</v>
      </c>
      <c r="K45" s="49">
        <f>'1.Red. Purchase Cost Vasc.'!K85+'Red. Purch. Cost Vascular-New'!K71</f>
        <v>1187.0991316345689</v>
      </c>
      <c r="L45" s="49">
        <f>'1.Red. Purchase Cost Vasc.'!L85+'Red. Purch. Cost Vascular-New'!L71</f>
        <v>1197.8204851556391</v>
      </c>
      <c r="M45" s="49">
        <f>'1.Red. Purchase Cost Vasc.'!M85+'Red. Purch. Cost Vascular-New'!M71</f>
        <v>1208.64905221192</v>
      </c>
      <c r="N45" s="49">
        <f>'1.Red. Purchase Cost Vasc.'!N85+'Red. Purch. Cost Vascular-New'!N71</f>
        <v>1219.5859049387636</v>
      </c>
      <c r="O45" s="49">
        <f>'1.Red. Purchase Cost Vasc.'!O85+'Red. Purch. Cost Vascular-New'!O71</f>
        <v>1230.6321261928756</v>
      </c>
      <c r="P45" s="117">
        <f>'1.Red. Purchase Cost Vasc.'!P85+'Red. Purch. Cost Vascular-New'!P71</f>
        <v>1241.7888096595289</v>
      </c>
      <c r="Q45" s="50"/>
      <c r="R45" s="50"/>
      <c r="S45" s="50"/>
      <c r="T45" s="50"/>
      <c r="U45" s="50"/>
      <c r="V45" s="50"/>
      <c r="W45" s="50"/>
      <c r="X45" s="50"/>
      <c r="Y45" s="50"/>
      <c r="Z45" s="50"/>
    </row>
    <row r="46" spans="1:26" ht="15.75" customHeight="1" x14ac:dyDescent="0.35">
      <c r="A46" s="50"/>
      <c r="B46" s="53" t="s">
        <v>176</v>
      </c>
      <c r="C46" s="54" t="s">
        <v>94</v>
      </c>
      <c r="D46" s="49">
        <f>'1.Red. Purchase Cost Vasc.'!D86+'Red. Purch. Cost Vascular-New'!D72</f>
        <v>1544.25</v>
      </c>
      <c r="E46" s="49">
        <f>'1.Red. Purchase Cost Vasc.'!E86+'Red. Purch. Cost Vascular-New'!E72</f>
        <v>1546.7647058823529</v>
      </c>
      <c r="F46" s="49">
        <f>'1.Red. Purchase Cost Vasc.'!F86+'Red. Purch. Cost Vascular-New'!F72</f>
        <v>1517.8586206896553</v>
      </c>
      <c r="G46" s="49">
        <f>'1.Red. Purchase Cost Vasc.'!G86+'Red. Purch. Cost Vascular-New'!G72</f>
        <v>1528.059620689655</v>
      </c>
      <c r="H46" s="49">
        <f>'1.Red. Purchase Cost Vasc.'!H86+'Red. Purch. Cost Vascular-New'!H72</f>
        <v>1538.3626306896551</v>
      </c>
      <c r="I46" s="49">
        <f>'1.Red. Purchase Cost Vasc.'!I86+'Red. Purch. Cost Vascular-New'!I72</f>
        <v>1548.7686707896551</v>
      </c>
      <c r="J46" s="49">
        <f>'1.Red. Purchase Cost Vasc.'!J86+'Red. Purch. Cost Vascular-New'!J72</f>
        <v>1559.278771290655</v>
      </c>
      <c r="K46" s="49">
        <f>'1.Red. Purchase Cost Vasc.'!K86+'Red. Purch. Cost Vascular-New'!K72</f>
        <v>1569.8939727966649</v>
      </c>
      <c r="L46" s="49">
        <f>'1.Red. Purchase Cost Vasc.'!L86+'Red. Purch. Cost Vascular-New'!L72</f>
        <v>1580.615326317735</v>
      </c>
      <c r="M46" s="49">
        <f>'1.Red. Purchase Cost Vasc.'!M86+'Red. Purch. Cost Vascular-New'!M72</f>
        <v>1591.4438933740159</v>
      </c>
      <c r="N46" s="49">
        <f>'1.Red. Purchase Cost Vasc.'!N86+'Red. Purch. Cost Vascular-New'!N72</f>
        <v>1602.3807461008596</v>
      </c>
      <c r="O46" s="49">
        <f>'1.Red. Purchase Cost Vasc.'!O86+'Red. Purch. Cost Vascular-New'!O72</f>
        <v>1613.4269673549716</v>
      </c>
      <c r="P46" s="117">
        <f>'1.Red. Purchase Cost Vasc.'!P86+'Red. Purch. Cost Vascular-New'!P72</f>
        <v>1624.5836508216248</v>
      </c>
      <c r="Q46" s="50"/>
      <c r="R46" s="50"/>
      <c r="S46" s="50"/>
      <c r="T46" s="50"/>
      <c r="U46" s="50"/>
      <c r="V46" s="50"/>
      <c r="W46" s="50"/>
      <c r="X46" s="50"/>
      <c r="Y46" s="50"/>
      <c r="Z46" s="50"/>
    </row>
    <row r="47" spans="1:26" ht="15.75" customHeight="1" x14ac:dyDescent="0.35">
      <c r="A47" s="237"/>
      <c r="B47" s="238" t="s">
        <v>65</v>
      </c>
      <c r="C47" s="54" t="s">
        <v>94</v>
      </c>
      <c r="D47" s="240">
        <f t="shared" ref="D47:P47" si="1">SUM(D36:D46)</f>
        <v>22378.139268594114</v>
      </c>
      <c r="E47" s="240">
        <f t="shared" si="1"/>
        <v>20425.88754607931</v>
      </c>
      <c r="F47" s="240">
        <f t="shared" si="1"/>
        <v>21076.921749772788</v>
      </c>
      <c r="G47" s="240">
        <f t="shared" si="1"/>
        <v>21572.532749772789</v>
      </c>
      <c r="H47" s="240">
        <f t="shared" si="1"/>
        <v>22088.435859772784</v>
      </c>
      <c r="I47" s="240">
        <f t="shared" si="1"/>
        <v>22625.600800872784</v>
      </c>
      <c r="J47" s="240">
        <f t="shared" si="1"/>
        <v>23185.04533138379</v>
      </c>
      <c r="K47" s="240">
        <f t="shared" si="1"/>
        <v>23767.837644199895</v>
      </c>
      <c r="L47" s="240">
        <f t="shared" si="1"/>
        <v>24375.098883994171</v>
      </c>
      <c r="M47" s="240">
        <f t="shared" si="1"/>
        <v>25008.005790228886</v>
      </c>
      <c r="N47" s="240">
        <f t="shared" si="1"/>
        <v>25667.793472270572</v>
      </c>
      <c r="O47" s="240">
        <f t="shared" si="1"/>
        <v>26355.75832321453</v>
      </c>
      <c r="P47" s="241">
        <f t="shared" si="1"/>
        <v>27073.261079353884</v>
      </c>
      <c r="Q47" s="237"/>
      <c r="R47" s="237"/>
      <c r="S47" s="237"/>
      <c r="T47" s="237"/>
      <c r="U47" s="237"/>
      <c r="V47" s="237"/>
      <c r="W47" s="237"/>
      <c r="X47" s="237"/>
      <c r="Y47" s="237"/>
      <c r="Z47" s="237"/>
    </row>
    <row r="48" spans="1:26" ht="15.75" customHeight="1" x14ac:dyDescent="0.35">
      <c r="A48" s="50"/>
      <c r="B48" s="62" t="s">
        <v>337</v>
      </c>
      <c r="C48" s="63"/>
      <c r="D48" s="120"/>
      <c r="E48" s="50"/>
      <c r="F48" s="50"/>
      <c r="G48" s="50"/>
      <c r="H48" s="50"/>
      <c r="I48" s="50"/>
      <c r="J48" s="50"/>
      <c r="K48" s="50"/>
      <c r="L48" s="50"/>
      <c r="M48" s="50"/>
      <c r="N48" s="50"/>
      <c r="O48" s="50"/>
      <c r="P48" s="115"/>
      <c r="Q48" s="50"/>
      <c r="R48" s="50"/>
      <c r="S48" s="50"/>
      <c r="T48" s="50"/>
      <c r="U48" s="50"/>
      <c r="V48" s="50"/>
      <c r="W48" s="50"/>
      <c r="X48" s="50"/>
      <c r="Y48" s="50"/>
      <c r="Z48" s="50"/>
    </row>
    <row r="49" spans="1:26" ht="15.75" customHeight="1" x14ac:dyDescent="0.35">
      <c r="A49" s="50"/>
      <c r="B49" s="53" t="s">
        <v>165</v>
      </c>
      <c r="C49" s="63" t="s">
        <v>325</v>
      </c>
      <c r="D49" s="242">
        <f>D17</f>
        <v>1.544</v>
      </c>
      <c r="E49" s="242">
        <f t="shared" ref="E49:P49" si="2">D49</f>
        <v>1.544</v>
      </c>
      <c r="F49" s="242">
        <f t="shared" si="2"/>
        <v>1.544</v>
      </c>
      <c r="G49" s="242">
        <f t="shared" si="2"/>
        <v>1.544</v>
      </c>
      <c r="H49" s="242">
        <f t="shared" si="2"/>
        <v>1.544</v>
      </c>
      <c r="I49" s="242">
        <f t="shared" si="2"/>
        <v>1.544</v>
      </c>
      <c r="J49" s="242">
        <f t="shared" si="2"/>
        <v>1.544</v>
      </c>
      <c r="K49" s="242">
        <f t="shared" si="2"/>
        <v>1.544</v>
      </c>
      <c r="L49" s="242">
        <f t="shared" si="2"/>
        <v>1.544</v>
      </c>
      <c r="M49" s="242">
        <f t="shared" si="2"/>
        <v>1.544</v>
      </c>
      <c r="N49" s="242">
        <f t="shared" si="2"/>
        <v>1.544</v>
      </c>
      <c r="O49" s="242">
        <f t="shared" si="2"/>
        <v>1.544</v>
      </c>
      <c r="P49" s="243">
        <f t="shared" si="2"/>
        <v>1.544</v>
      </c>
      <c r="Q49" s="50"/>
      <c r="R49" s="50"/>
      <c r="S49" s="50"/>
      <c r="T49" s="50"/>
      <c r="U49" s="50"/>
      <c r="V49" s="50"/>
      <c r="W49" s="50"/>
      <c r="X49" s="50"/>
      <c r="Y49" s="50"/>
      <c r="Z49" s="50"/>
    </row>
    <row r="50" spans="1:26" ht="15.75" customHeight="1" x14ac:dyDescent="0.35">
      <c r="A50" s="50"/>
      <c r="B50" s="53" t="s">
        <v>166</v>
      </c>
      <c r="C50" s="63" t="s">
        <v>325</v>
      </c>
      <c r="D50" s="242">
        <f>D12</f>
        <v>4.17</v>
      </c>
      <c r="E50" s="242">
        <f t="shared" ref="E50:P50" si="3">D50</f>
        <v>4.17</v>
      </c>
      <c r="F50" s="242">
        <f t="shared" si="3"/>
        <v>4.17</v>
      </c>
      <c r="G50" s="242">
        <f t="shared" si="3"/>
        <v>4.17</v>
      </c>
      <c r="H50" s="242">
        <f t="shared" si="3"/>
        <v>4.17</v>
      </c>
      <c r="I50" s="242">
        <f t="shared" si="3"/>
        <v>4.17</v>
      </c>
      <c r="J50" s="242">
        <f t="shared" si="3"/>
        <v>4.17</v>
      </c>
      <c r="K50" s="242">
        <f t="shared" si="3"/>
        <v>4.17</v>
      </c>
      <c r="L50" s="242">
        <f t="shared" si="3"/>
        <v>4.17</v>
      </c>
      <c r="M50" s="242">
        <f t="shared" si="3"/>
        <v>4.17</v>
      </c>
      <c r="N50" s="242">
        <f t="shared" si="3"/>
        <v>4.17</v>
      </c>
      <c r="O50" s="242">
        <f t="shared" si="3"/>
        <v>4.17</v>
      </c>
      <c r="P50" s="243">
        <f t="shared" si="3"/>
        <v>4.17</v>
      </c>
      <c r="Q50" s="50"/>
      <c r="R50" s="50"/>
      <c r="S50" s="50"/>
      <c r="T50" s="50"/>
      <c r="U50" s="50"/>
      <c r="V50" s="50"/>
      <c r="W50" s="50"/>
      <c r="X50" s="50"/>
      <c r="Y50" s="50"/>
      <c r="Z50" s="50"/>
    </row>
    <row r="51" spans="1:26" ht="15.75" customHeight="1" x14ac:dyDescent="0.35">
      <c r="A51" s="50"/>
      <c r="B51" s="53" t="s">
        <v>167</v>
      </c>
      <c r="C51" s="63" t="s">
        <v>325</v>
      </c>
      <c r="D51" s="242">
        <f>D17</f>
        <v>1.544</v>
      </c>
      <c r="E51" s="242">
        <f t="shared" ref="E51:P51" si="4">D51</f>
        <v>1.544</v>
      </c>
      <c r="F51" s="242">
        <f t="shared" si="4"/>
        <v>1.544</v>
      </c>
      <c r="G51" s="242">
        <f t="shared" si="4"/>
        <v>1.544</v>
      </c>
      <c r="H51" s="242">
        <f t="shared" si="4"/>
        <v>1.544</v>
      </c>
      <c r="I51" s="242">
        <f t="shared" si="4"/>
        <v>1.544</v>
      </c>
      <c r="J51" s="242">
        <f t="shared" si="4"/>
        <v>1.544</v>
      </c>
      <c r="K51" s="242">
        <f t="shared" si="4"/>
        <v>1.544</v>
      </c>
      <c r="L51" s="242">
        <f t="shared" si="4"/>
        <v>1.544</v>
      </c>
      <c r="M51" s="242">
        <f t="shared" si="4"/>
        <v>1.544</v>
      </c>
      <c r="N51" s="242">
        <f t="shared" si="4"/>
        <v>1.544</v>
      </c>
      <c r="O51" s="242">
        <f t="shared" si="4"/>
        <v>1.544</v>
      </c>
      <c r="P51" s="243">
        <f t="shared" si="4"/>
        <v>1.544</v>
      </c>
      <c r="Q51" s="50"/>
      <c r="R51" s="50"/>
      <c r="S51" s="50"/>
      <c r="T51" s="50"/>
      <c r="U51" s="50"/>
      <c r="V51" s="50"/>
      <c r="W51" s="50"/>
      <c r="X51" s="50"/>
      <c r="Y51" s="50"/>
      <c r="Z51" s="50"/>
    </row>
    <row r="52" spans="1:26" ht="15.75" customHeight="1" x14ac:dyDescent="0.35">
      <c r="A52" s="50"/>
      <c r="B52" s="53" t="s">
        <v>169</v>
      </c>
      <c r="C52" s="63" t="s">
        <v>325</v>
      </c>
      <c r="D52" s="242">
        <f>D17</f>
        <v>1.544</v>
      </c>
      <c r="E52" s="242">
        <f t="shared" ref="E52:P52" si="5">D52</f>
        <v>1.544</v>
      </c>
      <c r="F52" s="242">
        <f t="shared" si="5"/>
        <v>1.544</v>
      </c>
      <c r="G52" s="242">
        <f t="shared" si="5"/>
        <v>1.544</v>
      </c>
      <c r="H52" s="242">
        <f t="shared" si="5"/>
        <v>1.544</v>
      </c>
      <c r="I52" s="242">
        <f t="shared" si="5"/>
        <v>1.544</v>
      </c>
      <c r="J52" s="242">
        <f t="shared" si="5"/>
        <v>1.544</v>
      </c>
      <c r="K52" s="242">
        <f t="shared" si="5"/>
        <v>1.544</v>
      </c>
      <c r="L52" s="242">
        <f t="shared" si="5"/>
        <v>1.544</v>
      </c>
      <c r="M52" s="242">
        <f t="shared" si="5"/>
        <v>1.544</v>
      </c>
      <c r="N52" s="242">
        <f t="shared" si="5"/>
        <v>1.544</v>
      </c>
      <c r="O52" s="242">
        <f t="shared" si="5"/>
        <v>1.544</v>
      </c>
      <c r="P52" s="243">
        <f t="shared" si="5"/>
        <v>1.544</v>
      </c>
      <c r="Q52" s="50"/>
      <c r="R52" s="50"/>
      <c r="S52" s="50"/>
      <c r="T52" s="50"/>
      <c r="U52" s="50"/>
      <c r="V52" s="50"/>
      <c r="W52" s="50"/>
      <c r="X52" s="50"/>
      <c r="Y52" s="50"/>
      <c r="Z52" s="50"/>
    </row>
    <row r="53" spans="1:26" ht="15.75" customHeight="1" x14ac:dyDescent="0.35">
      <c r="A53" s="50"/>
      <c r="B53" s="53" t="s">
        <v>170</v>
      </c>
      <c r="C53" s="63" t="s">
        <v>325</v>
      </c>
      <c r="D53" s="242">
        <f>D17</f>
        <v>1.544</v>
      </c>
      <c r="E53" s="242">
        <f t="shared" ref="E53:P53" si="6">D53</f>
        <v>1.544</v>
      </c>
      <c r="F53" s="242">
        <f t="shared" si="6"/>
        <v>1.544</v>
      </c>
      <c r="G53" s="242">
        <f t="shared" si="6"/>
        <v>1.544</v>
      </c>
      <c r="H53" s="242">
        <f t="shared" si="6"/>
        <v>1.544</v>
      </c>
      <c r="I53" s="242">
        <f t="shared" si="6"/>
        <v>1.544</v>
      </c>
      <c r="J53" s="242">
        <f t="shared" si="6"/>
        <v>1.544</v>
      </c>
      <c r="K53" s="242">
        <f t="shared" si="6"/>
        <v>1.544</v>
      </c>
      <c r="L53" s="242">
        <f t="shared" si="6"/>
        <v>1.544</v>
      </c>
      <c r="M53" s="242">
        <f t="shared" si="6"/>
        <v>1.544</v>
      </c>
      <c r="N53" s="242">
        <f t="shared" si="6"/>
        <v>1.544</v>
      </c>
      <c r="O53" s="242">
        <f t="shared" si="6"/>
        <v>1.544</v>
      </c>
      <c r="P53" s="243">
        <f t="shared" si="6"/>
        <v>1.544</v>
      </c>
      <c r="Q53" s="50"/>
      <c r="R53" s="50"/>
      <c r="S53" s="50"/>
      <c r="T53" s="50"/>
      <c r="U53" s="50"/>
      <c r="V53" s="50"/>
      <c r="W53" s="50"/>
      <c r="X53" s="50"/>
      <c r="Y53" s="50"/>
      <c r="Z53" s="50"/>
    </row>
    <row r="54" spans="1:26" ht="15.75" customHeight="1" x14ac:dyDescent="0.35">
      <c r="A54" s="50"/>
      <c r="B54" s="53" t="s">
        <v>171</v>
      </c>
      <c r="C54" s="63" t="s">
        <v>325</v>
      </c>
      <c r="D54" s="242">
        <f>D17</f>
        <v>1.544</v>
      </c>
      <c r="E54" s="242">
        <f t="shared" ref="E54:P54" si="7">D54</f>
        <v>1.544</v>
      </c>
      <c r="F54" s="242">
        <f t="shared" si="7"/>
        <v>1.544</v>
      </c>
      <c r="G54" s="242">
        <f t="shared" si="7"/>
        <v>1.544</v>
      </c>
      <c r="H54" s="242">
        <f t="shared" si="7"/>
        <v>1.544</v>
      </c>
      <c r="I54" s="242">
        <f t="shared" si="7"/>
        <v>1.544</v>
      </c>
      <c r="J54" s="242">
        <f t="shared" si="7"/>
        <v>1.544</v>
      </c>
      <c r="K54" s="242">
        <f t="shared" si="7"/>
        <v>1.544</v>
      </c>
      <c r="L54" s="242">
        <f t="shared" si="7"/>
        <v>1.544</v>
      </c>
      <c r="M54" s="242">
        <f t="shared" si="7"/>
        <v>1.544</v>
      </c>
      <c r="N54" s="242">
        <f t="shared" si="7"/>
        <v>1.544</v>
      </c>
      <c r="O54" s="242">
        <f t="shared" si="7"/>
        <v>1.544</v>
      </c>
      <c r="P54" s="243">
        <f t="shared" si="7"/>
        <v>1.544</v>
      </c>
      <c r="Q54" s="50"/>
      <c r="R54" s="50"/>
      <c r="S54" s="50"/>
      <c r="T54" s="50"/>
      <c r="U54" s="50"/>
      <c r="V54" s="50"/>
      <c r="W54" s="50"/>
      <c r="X54" s="50"/>
      <c r="Y54" s="50"/>
      <c r="Z54" s="50"/>
    </row>
    <row r="55" spans="1:26" ht="15.75" customHeight="1" x14ac:dyDescent="0.35">
      <c r="A55" s="50"/>
      <c r="B55" s="53" t="s">
        <v>172</v>
      </c>
      <c r="C55" s="63" t="s">
        <v>325</v>
      </c>
      <c r="D55" s="242">
        <f>D17</f>
        <v>1.544</v>
      </c>
      <c r="E55" s="242">
        <f t="shared" ref="E55:P55" si="8">D55</f>
        <v>1.544</v>
      </c>
      <c r="F55" s="242">
        <f t="shared" si="8"/>
        <v>1.544</v>
      </c>
      <c r="G55" s="242">
        <f t="shared" si="8"/>
        <v>1.544</v>
      </c>
      <c r="H55" s="242">
        <f t="shared" si="8"/>
        <v>1.544</v>
      </c>
      <c r="I55" s="242">
        <f t="shared" si="8"/>
        <v>1.544</v>
      </c>
      <c r="J55" s="242">
        <f t="shared" si="8"/>
        <v>1.544</v>
      </c>
      <c r="K55" s="242">
        <f t="shared" si="8"/>
        <v>1.544</v>
      </c>
      <c r="L55" s="242">
        <f t="shared" si="8"/>
        <v>1.544</v>
      </c>
      <c r="M55" s="242">
        <f t="shared" si="8"/>
        <v>1.544</v>
      </c>
      <c r="N55" s="242">
        <f t="shared" si="8"/>
        <v>1.544</v>
      </c>
      <c r="O55" s="242">
        <f t="shared" si="8"/>
        <v>1.544</v>
      </c>
      <c r="P55" s="243">
        <f t="shared" si="8"/>
        <v>1.544</v>
      </c>
      <c r="Q55" s="50"/>
      <c r="R55" s="50"/>
      <c r="S55" s="50"/>
      <c r="T55" s="50"/>
      <c r="U55" s="50"/>
      <c r="V55" s="50"/>
      <c r="W55" s="50"/>
      <c r="X55" s="50"/>
      <c r="Y55" s="50"/>
      <c r="Z55" s="50"/>
    </row>
    <row r="56" spans="1:26" ht="15.75" customHeight="1" x14ac:dyDescent="0.35">
      <c r="A56" s="50"/>
      <c r="B56" s="53" t="s">
        <v>173</v>
      </c>
      <c r="C56" s="63" t="s">
        <v>325</v>
      </c>
      <c r="D56" s="242">
        <f>D17</f>
        <v>1.544</v>
      </c>
      <c r="E56" s="242">
        <f t="shared" ref="E56:P56" si="9">D56</f>
        <v>1.544</v>
      </c>
      <c r="F56" s="242">
        <f t="shared" si="9"/>
        <v>1.544</v>
      </c>
      <c r="G56" s="242">
        <f t="shared" si="9"/>
        <v>1.544</v>
      </c>
      <c r="H56" s="242">
        <f t="shared" si="9"/>
        <v>1.544</v>
      </c>
      <c r="I56" s="242">
        <f t="shared" si="9"/>
        <v>1.544</v>
      </c>
      <c r="J56" s="242">
        <f t="shared" si="9"/>
        <v>1.544</v>
      </c>
      <c r="K56" s="242">
        <f t="shared" si="9"/>
        <v>1.544</v>
      </c>
      <c r="L56" s="242">
        <f t="shared" si="9"/>
        <v>1.544</v>
      </c>
      <c r="M56" s="242">
        <f t="shared" si="9"/>
        <v>1.544</v>
      </c>
      <c r="N56" s="242">
        <f t="shared" si="9"/>
        <v>1.544</v>
      </c>
      <c r="O56" s="242">
        <f t="shared" si="9"/>
        <v>1.544</v>
      </c>
      <c r="P56" s="243">
        <f t="shared" si="9"/>
        <v>1.544</v>
      </c>
      <c r="Q56" s="50"/>
      <c r="R56" s="50"/>
      <c r="S56" s="50"/>
      <c r="T56" s="50"/>
      <c r="U56" s="50"/>
      <c r="V56" s="50"/>
      <c r="W56" s="50"/>
      <c r="X56" s="50"/>
      <c r="Y56" s="50"/>
      <c r="Z56" s="50"/>
    </row>
    <row r="57" spans="1:26" ht="15.75" customHeight="1" x14ac:dyDescent="0.35">
      <c r="A57" s="50"/>
      <c r="B57" s="53" t="s">
        <v>174</v>
      </c>
      <c r="C57" s="63" t="s">
        <v>325</v>
      </c>
      <c r="D57" s="242">
        <f>D17</f>
        <v>1.544</v>
      </c>
      <c r="E57" s="242">
        <f t="shared" ref="E57:P57" si="10">D57</f>
        <v>1.544</v>
      </c>
      <c r="F57" s="242">
        <f t="shared" si="10"/>
        <v>1.544</v>
      </c>
      <c r="G57" s="242">
        <f t="shared" si="10"/>
        <v>1.544</v>
      </c>
      <c r="H57" s="242">
        <f t="shared" si="10"/>
        <v>1.544</v>
      </c>
      <c r="I57" s="242">
        <f t="shared" si="10"/>
        <v>1.544</v>
      </c>
      <c r="J57" s="242">
        <f t="shared" si="10"/>
        <v>1.544</v>
      </c>
      <c r="K57" s="242">
        <f t="shared" si="10"/>
        <v>1.544</v>
      </c>
      <c r="L57" s="242">
        <f t="shared" si="10"/>
        <v>1.544</v>
      </c>
      <c r="M57" s="242">
        <f t="shared" si="10"/>
        <v>1.544</v>
      </c>
      <c r="N57" s="242">
        <f t="shared" si="10"/>
        <v>1.544</v>
      </c>
      <c r="O57" s="242">
        <f t="shared" si="10"/>
        <v>1.544</v>
      </c>
      <c r="P57" s="243">
        <f t="shared" si="10"/>
        <v>1.544</v>
      </c>
      <c r="Q57" s="50"/>
      <c r="R57" s="50"/>
      <c r="S57" s="50"/>
      <c r="T57" s="50"/>
      <c r="U57" s="50"/>
      <c r="V57" s="50"/>
      <c r="W57" s="50"/>
      <c r="X57" s="50"/>
      <c r="Y57" s="50"/>
      <c r="Z57" s="50"/>
    </row>
    <row r="58" spans="1:26" ht="15.75" customHeight="1" x14ac:dyDescent="0.35">
      <c r="A58" s="50"/>
      <c r="B58" s="53" t="s">
        <v>175</v>
      </c>
      <c r="C58" s="63" t="s">
        <v>325</v>
      </c>
      <c r="D58" s="242">
        <f>D17</f>
        <v>1.544</v>
      </c>
      <c r="E58" s="242">
        <f t="shared" ref="E58:P58" si="11">D58</f>
        <v>1.544</v>
      </c>
      <c r="F58" s="242">
        <f t="shared" si="11"/>
        <v>1.544</v>
      </c>
      <c r="G58" s="242">
        <f t="shared" si="11"/>
        <v>1.544</v>
      </c>
      <c r="H58" s="242">
        <f t="shared" si="11"/>
        <v>1.544</v>
      </c>
      <c r="I58" s="242">
        <f t="shared" si="11"/>
        <v>1.544</v>
      </c>
      <c r="J58" s="242">
        <f t="shared" si="11"/>
        <v>1.544</v>
      </c>
      <c r="K58" s="242">
        <f t="shared" si="11"/>
        <v>1.544</v>
      </c>
      <c r="L58" s="242">
        <f t="shared" si="11"/>
        <v>1.544</v>
      </c>
      <c r="M58" s="242">
        <f t="shared" si="11"/>
        <v>1.544</v>
      </c>
      <c r="N58" s="242">
        <f t="shared" si="11"/>
        <v>1.544</v>
      </c>
      <c r="O58" s="242">
        <f t="shared" si="11"/>
        <v>1.544</v>
      </c>
      <c r="P58" s="243">
        <f t="shared" si="11"/>
        <v>1.544</v>
      </c>
      <c r="Q58" s="50"/>
      <c r="R58" s="50"/>
      <c r="S58" s="50"/>
      <c r="T58" s="50"/>
      <c r="U58" s="50"/>
      <c r="V58" s="50"/>
      <c r="W58" s="50"/>
      <c r="X58" s="50"/>
      <c r="Y58" s="50"/>
      <c r="Z58" s="50"/>
    </row>
    <row r="59" spans="1:26" ht="15.75" customHeight="1" x14ac:dyDescent="0.35">
      <c r="A59" s="50"/>
      <c r="B59" s="53" t="s">
        <v>176</v>
      </c>
      <c r="C59" s="63" t="s">
        <v>325</v>
      </c>
      <c r="D59" s="242">
        <f>D17</f>
        <v>1.544</v>
      </c>
      <c r="E59" s="242">
        <f t="shared" ref="E59:P59" si="12">D59</f>
        <v>1.544</v>
      </c>
      <c r="F59" s="242">
        <f t="shared" si="12"/>
        <v>1.544</v>
      </c>
      <c r="G59" s="242">
        <f t="shared" si="12"/>
        <v>1.544</v>
      </c>
      <c r="H59" s="242">
        <f t="shared" si="12"/>
        <v>1.544</v>
      </c>
      <c r="I59" s="242">
        <f t="shared" si="12"/>
        <v>1.544</v>
      </c>
      <c r="J59" s="242">
        <f t="shared" si="12"/>
        <v>1.544</v>
      </c>
      <c r="K59" s="242">
        <f t="shared" si="12"/>
        <v>1.544</v>
      </c>
      <c r="L59" s="242">
        <f t="shared" si="12"/>
        <v>1.544</v>
      </c>
      <c r="M59" s="242">
        <f t="shared" si="12"/>
        <v>1.544</v>
      </c>
      <c r="N59" s="242">
        <f t="shared" si="12"/>
        <v>1.544</v>
      </c>
      <c r="O59" s="242">
        <f t="shared" si="12"/>
        <v>1.544</v>
      </c>
      <c r="P59" s="243">
        <f t="shared" si="12"/>
        <v>1.544</v>
      </c>
      <c r="Q59" s="50"/>
      <c r="R59" s="50"/>
      <c r="S59" s="50"/>
      <c r="T59" s="50"/>
      <c r="U59" s="50"/>
      <c r="V59" s="50"/>
      <c r="W59" s="50"/>
      <c r="X59" s="50"/>
      <c r="Y59" s="50"/>
      <c r="Z59" s="50"/>
    </row>
    <row r="60" spans="1:26" ht="15.75" customHeight="1" x14ac:dyDescent="0.35">
      <c r="A60" s="50"/>
      <c r="B60" s="46" t="s">
        <v>338</v>
      </c>
      <c r="C60" s="194"/>
      <c r="D60" s="245"/>
      <c r="E60" s="245"/>
      <c r="F60" s="245"/>
      <c r="G60" s="245"/>
      <c r="H60" s="245"/>
      <c r="I60" s="246"/>
      <c r="J60" s="246"/>
      <c r="K60" s="246"/>
      <c r="L60" s="246"/>
      <c r="M60" s="246"/>
      <c r="N60" s="246"/>
      <c r="O60" s="246"/>
      <c r="P60" s="247"/>
      <c r="Q60" s="50"/>
      <c r="R60" s="50"/>
      <c r="S60" s="50"/>
      <c r="T60" s="50"/>
      <c r="U60" s="50"/>
      <c r="V60" s="50"/>
      <c r="W60" s="50"/>
      <c r="X60" s="50"/>
      <c r="Y60" s="50"/>
      <c r="Z60" s="50"/>
    </row>
    <row r="61" spans="1:26" ht="15.75" customHeight="1" x14ac:dyDescent="0.35">
      <c r="A61" s="50"/>
      <c r="B61" s="53" t="s">
        <v>165</v>
      </c>
      <c r="C61" s="63" t="s">
        <v>325</v>
      </c>
      <c r="D61" s="80">
        <f t="shared" ref="D61:P61" si="13">D36*D49</f>
        <v>6501.7840000000006</v>
      </c>
      <c r="E61" s="80">
        <f t="shared" si="13"/>
        <v>5008.7359999999999</v>
      </c>
      <c r="F61" s="80">
        <f t="shared" si="13"/>
        <v>4710.8984</v>
      </c>
      <c r="G61" s="80">
        <f t="shared" si="13"/>
        <v>4883.4419440000001</v>
      </c>
      <c r="H61" s="80">
        <f t="shared" si="13"/>
        <v>5063.9826514400002</v>
      </c>
      <c r="I61" s="80">
        <f t="shared" si="13"/>
        <v>5252.9140803544014</v>
      </c>
      <c r="J61" s="80">
        <f t="shared" si="13"/>
        <v>5450.649403677945</v>
      </c>
      <c r="K61" s="80">
        <f t="shared" si="13"/>
        <v>5657.6223893607248</v>
      </c>
      <c r="L61" s="80">
        <f t="shared" si="13"/>
        <v>5874.2884294826326</v>
      </c>
      <c r="M61" s="80">
        <f t="shared" si="13"/>
        <v>6101.1256208171744</v>
      </c>
      <c r="N61" s="80">
        <f t="shared" si="13"/>
        <v>6338.6358994170469</v>
      </c>
      <c r="O61" s="80">
        <f t="shared" si="13"/>
        <v>6587.3462319225036</v>
      </c>
      <c r="P61" s="300">
        <f t="shared" si="13"/>
        <v>6847.8098664285799</v>
      </c>
      <c r="Q61" s="50"/>
      <c r="R61" s="50"/>
      <c r="S61" s="50"/>
      <c r="T61" s="50"/>
      <c r="U61" s="50"/>
      <c r="V61" s="50"/>
      <c r="W61" s="50"/>
      <c r="X61" s="50"/>
      <c r="Y61" s="50"/>
      <c r="Z61" s="50"/>
    </row>
    <row r="62" spans="1:26" ht="15.75" customHeight="1" x14ac:dyDescent="0.35">
      <c r="A62" s="50"/>
      <c r="B62" s="53" t="s">
        <v>166</v>
      </c>
      <c r="C62" s="63" t="s">
        <v>325</v>
      </c>
      <c r="D62" s="80">
        <f t="shared" ref="D62:P62" si="14">D37*D50</f>
        <v>4828.8599999999997</v>
      </c>
      <c r="E62" s="80">
        <f t="shared" si="14"/>
        <v>5404.32</v>
      </c>
      <c r="F62" s="80">
        <f t="shared" si="14"/>
        <v>6234.5669999999991</v>
      </c>
      <c r="G62" s="80">
        <f t="shared" si="14"/>
        <v>6376.1426699999993</v>
      </c>
      <c r="H62" s="80">
        <f t="shared" si="14"/>
        <v>6523.0955967</v>
      </c>
      <c r="I62" s="80">
        <f t="shared" si="14"/>
        <v>6675.6776276669998</v>
      </c>
      <c r="J62" s="80">
        <f t="shared" si="14"/>
        <v>6834.15303269367</v>
      </c>
      <c r="K62" s="80">
        <f t="shared" si="14"/>
        <v>6998.7991232081067</v>
      </c>
      <c r="L62" s="80">
        <f t="shared" si="14"/>
        <v>7169.9069026370626</v>
      </c>
      <c r="M62" s="80">
        <f t="shared" si="14"/>
        <v>7347.7817492701524</v>
      </c>
      <c r="N62" s="80">
        <f t="shared" si="14"/>
        <v>7532.7441332499093</v>
      </c>
      <c r="O62" s="80">
        <f t="shared" si="14"/>
        <v>7725.1303693938153</v>
      </c>
      <c r="P62" s="300">
        <f t="shared" si="14"/>
        <v>7925.2934076397323</v>
      </c>
      <c r="Q62" s="50"/>
      <c r="R62" s="50"/>
      <c r="S62" s="50"/>
      <c r="T62" s="50"/>
      <c r="U62" s="50"/>
      <c r="V62" s="50"/>
      <c r="W62" s="50"/>
      <c r="X62" s="50"/>
      <c r="Y62" s="50"/>
      <c r="Z62" s="50"/>
    </row>
    <row r="63" spans="1:26" ht="15.75" customHeight="1" x14ac:dyDescent="0.35">
      <c r="A63" s="50"/>
      <c r="B63" s="53" t="s">
        <v>167</v>
      </c>
      <c r="C63" s="63" t="s">
        <v>325</v>
      </c>
      <c r="D63" s="80">
        <f t="shared" ref="D63:P63" si="15">D38*D51</f>
        <v>3495.616</v>
      </c>
      <c r="E63" s="80">
        <f t="shared" si="15"/>
        <v>3165.2000000000003</v>
      </c>
      <c r="F63" s="80">
        <f t="shared" si="15"/>
        <v>3535.9144000000001</v>
      </c>
      <c r="G63" s="80">
        <f t="shared" si="15"/>
        <v>3649.708744</v>
      </c>
      <c r="H63" s="80">
        <f t="shared" si="15"/>
        <v>3768.5627914400002</v>
      </c>
      <c r="I63" s="80">
        <f t="shared" si="15"/>
        <v>3892.7232273544</v>
      </c>
      <c r="J63" s="80">
        <f t="shared" si="15"/>
        <v>4022.4490080279438</v>
      </c>
      <c r="K63" s="80">
        <f t="shared" si="15"/>
        <v>4158.0119739282227</v>
      </c>
      <c r="L63" s="80">
        <f t="shared" si="15"/>
        <v>4299.697493278506</v>
      </c>
      <c r="M63" s="80">
        <f t="shared" si="15"/>
        <v>4447.8051378028413</v>
      </c>
      <c r="N63" s="80">
        <f t="shared" si="15"/>
        <v>4602.6493922519976</v>
      </c>
      <c r="O63" s="80">
        <f t="shared" si="15"/>
        <v>4764.5603993992008</v>
      </c>
      <c r="P63" s="300">
        <f t="shared" si="15"/>
        <v>4933.8847422791105</v>
      </c>
      <c r="Q63" s="50"/>
      <c r="R63" s="50"/>
      <c r="S63" s="50"/>
      <c r="T63" s="50"/>
      <c r="U63" s="50"/>
      <c r="V63" s="50"/>
      <c r="W63" s="50"/>
      <c r="X63" s="50"/>
      <c r="Y63" s="50"/>
      <c r="Z63" s="50"/>
    </row>
    <row r="64" spans="1:26" ht="15.75" customHeight="1" x14ac:dyDescent="0.35">
      <c r="A64" s="50"/>
      <c r="B64" s="53" t="s">
        <v>169</v>
      </c>
      <c r="C64" s="63" t="s">
        <v>325</v>
      </c>
      <c r="D64" s="80">
        <f t="shared" ref="D64:P64" si="16">D39*D52</f>
        <v>1729.28</v>
      </c>
      <c r="E64" s="80">
        <f t="shared" si="16"/>
        <v>1664.432</v>
      </c>
      <c r="F64" s="80">
        <f t="shared" si="16"/>
        <v>1664.5863999999999</v>
      </c>
      <c r="G64" s="80">
        <f t="shared" si="16"/>
        <v>1684.8143440000001</v>
      </c>
      <c r="H64" s="80">
        <f t="shared" si="16"/>
        <v>1705.4236714399999</v>
      </c>
      <c r="I64" s="80">
        <f t="shared" si="16"/>
        <v>1726.4271513544002</v>
      </c>
      <c r="J64" s="80">
        <f t="shared" si="16"/>
        <v>1747.8381282279438</v>
      </c>
      <c r="K64" s="80">
        <f t="shared" si="16"/>
        <v>1769.670550138223</v>
      </c>
      <c r="L64" s="80">
        <f t="shared" si="16"/>
        <v>1791.9389982990056</v>
      </c>
      <c r="M64" s="80">
        <f t="shared" si="16"/>
        <v>1814.6587180743654</v>
      </c>
      <c r="N64" s="80">
        <f t="shared" si="16"/>
        <v>1837.8456515370981</v>
      </c>
      <c r="O64" s="80">
        <f t="shared" si="16"/>
        <v>1861.5164716485567</v>
      </c>
      <c r="P64" s="300">
        <f t="shared" si="16"/>
        <v>1885.6886181409348</v>
      </c>
      <c r="Q64" s="50"/>
      <c r="R64" s="50"/>
      <c r="S64" s="50"/>
      <c r="T64" s="50"/>
      <c r="U64" s="50"/>
      <c r="V64" s="50"/>
      <c r="W64" s="50"/>
      <c r="X64" s="50"/>
      <c r="Y64" s="50"/>
      <c r="Z64" s="50"/>
    </row>
    <row r="65" spans="1:26" ht="15.75" customHeight="1" x14ac:dyDescent="0.35">
      <c r="A65" s="50"/>
      <c r="B65" s="53" t="s">
        <v>170</v>
      </c>
      <c r="C65" s="63" t="s">
        <v>325</v>
      </c>
      <c r="D65" s="80">
        <f t="shared" ref="D65:P65" si="17">D40*D53</f>
        <v>1544</v>
      </c>
      <c r="E65" s="80">
        <f t="shared" si="17"/>
        <v>1559.44</v>
      </c>
      <c r="F65" s="80">
        <f t="shared" si="17"/>
        <v>1575.0344</v>
      </c>
      <c r="G65" s="80">
        <f t="shared" si="17"/>
        <v>1590.784744</v>
      </c>
      <c r="H65" s="80">
        <f t="shared" si="17"/>
        <v>1606.6925914400001</v>
      </c>
      <c r="I65" s="80">
        <f t="shared" si="17"/>
        <v>1622.7595173544</v>
      </c>
      <c r="J65" s="80">
        <f t="shared" si="17"/>
        <v>1638.9871125279437</v>
      </c>
      <c r="K65" s="80">
        <f t="shared" si="17"/>
        <v>1655.3769836532231</v>
      </c>
      <c r="L65" s="80">
        <f t="shared" si="17"/>
        <v>1671.9307534897555</v>
      </c>
      <c r="M65" s="80">
        <f t="shared" si="17"/>
        <v>1688.6500610246533</v>
      </c>
      <c r="N65" s="80">
        <f t="shared" si="17"/>
        <v>1705.5365616348997</v>
      </c>
      <c r="O65" s="80">
        <f t="shared" si="17"/>
        <v>1722.5919272512485</v>
      </c>
      <c r="P65" s="300">
        <f t="shared" si="17"/>
        <v>1739.8178465237613</v>
      </c>
      <c r="Q65" s="50"/>
      <c r="R65" s="50"/>
      <c r="S65" s="50"/>
      <c r="T65" s="50"/>
      <c r="U65" s="50"/>
      <c r="V65" s="50"/>
      <c r="W65" s="50"/>
      <c r="X65" s="50"/>
      <c r="Y65" s="50"/>
      <c r="Z65" s="50"/>
    </row>
    <row r="66" spans="1:26" ht="15.75" customHeight="1" x14ac:dyDescent="0.35">
      <c r="A66" s="50"/>
      <c r="B66" s="53" t="s">
        <v>171</v>
      </c>
      <c r="C66" s="63" t="s">
        <v>325</v>
      </c>
      <c r="D66" s="80">
        <f t="shared" ref="D66:P66" si="18">D41*D54</f>
        <v>8882.6319999999996</v>
      </c>
      <c r="E66" s="80">
        <f t="shared" si="18"/>
        <v>7161.0720000000001</v>
      </c>
      <c r="F66" s="80">
        <f t="shared" si="18"/>
        <v>7494.7304000000004</v>
      </c>
      <c r="G66" s="80">
        <f t="shared" si="18"/>
        <v>7806.4655440000006</v>
      </c>
      <c r="H66" s="80">
        <f t="shared" si="18"/>
        <v>8133.1574314399995</v>
      </c>
      <c r="I66" s="80">
        <f t="shared" si="18"/>
        <v>8475.5475993544005</v>
      </c>
      <c r="J66" s="80">
        <f t="shared" si="18"/>
        <v>8834.4145986279455</v>
      </c>
      <c r="K66" s="80">
        <f t="shared" si="18"/>
        <v>9210.5758440582249</v>
      </c>
      <c r="L66" s="80">
        <f t="shared" si="18"/>
        <v>9604.8895569150081</v>
      </c>
      <c r="M66" s="80">
        <f t="shared" si="18"/>
        <v>10018.256804621169</v>
      </c>
      <c r="N66" s="80">
        <f t="shared" si="18"/>
        <v>10451.623642411241</v>
      </c>
      <c r="O66" s="80">
        <f t="shared" si="18"/>
        <v>10905.983362066409</v>
      </c>
      <c r="P66" s="300">
        <f t="shared" si="18"/>
        <v>11382.378853079677</v>
      </c>
      <c r="Q66" s="50"/>
      <c r="R66" s="50"/>
      <c r="S66" s="50"/>
      <c r="T66" s="50"/>
      <c r="U66" s="50"/>
      <c r="V66" s="50"/>
      <c r="W66" s="50"/>
      <c r="X66" s="50"/>
      <c r="Y66" s="50"/>
      <c r="Z66" s="50"/>
    </row>
    <row r="67" spans="1:26" ht="15.75" customHeight="1" x14ac:dyDescent="0.35">
      <c r="A67" s="50"/>
      <c r="B67" s="53" t="s">
        <v>172</v>
      </c>
      <c r="C67" s="63" t="s">
        <v>325</v>
      </c>
      <c r="D67" s="80">
        <f t="shared" ref="D67:P67" si="19">D42*D55</f>
        <v>1544</v>
      </c>
      <c r="E67" s="80">
        <f t="shared" si="19"/>
        <v>1559.44</v>
      </c>
      <c r="F67" s="80">
        <f t="shared" si="19"/>
        <v>1575.0344</v>
      </c>
      <c r="G67" s="80">
        <f t="shared" si="19"/>
        <v>1590.784744</v>
      </c>
      <c r="H67" s="80">
        <f t="shared" si="19"/>
        <v>1606.6925914400001</v>
      </c>
      <c r="I67" s="80">
        <f t="shared" si="19"/>
        <v>1622.7595173544</v>
      </c>
      <c r="J67" s="80">
        <f t="shared" si="19"/>
        <v>1638.9871125279437</v>
      </c>
      <c r="K67" s="80">
        <f t="shared" si="19"/>
        <v>1655.3769836532231</v>
      </c>
      <c r="L67" s="80">
        <f t="shared" si="19"/>
        <v>1671.9307534897555</v>
      </c>
      <c r="M67" s="80">
        <f t="shared" si="19"/>
        <v>1688.6500610246533</v>
      </c>
      <c r="N67" s="80">
        <f t="shared" si="19"/>
        <v>1705.5365616348997</v>
      </c>
      <c r="O67" s="80">
        <f t="shared" si="19"/>
        <v>1722.5919272512485</v>
      </c>
      <c r="P67" s="300">
        <f t="shared" si="19"/>
        <v>1739.8178465237613</v>
      </c>
      <c r="Q67" s="50"/>
      <c r="R67" s="50"/>
      <c r="S67" s="50"/>
      <c r="T67" s="50"/>
      <c r="U67" s="50"/>
      <c r="V67" s="50"/>
      <c r="W67" s="50"/>
      <c r="X67" s="50"/>
      <c r="Y67" s="50"/>
      <c r="Z67" s="50"/>
    </row>
    <row r="68" spans="1:26" ht="15.75" customHeight="1" x14ac:dyDescent="0.35">
      <c r="A68" s="50"/>
      <c r="B68" s="53" t="s">
        <v>173</v>
      </c>
      <c r="C68" s="63" t="s">
        <v>325</v>
      </c>
      <c r="D68" s="80">
        <f t="shared" ref="D68:P68" si="20">D43*D56</f>
        <v>1736.5431952662723</v>
      </c>
      <c r="E68" s="80">
        <f t="shared" si="20"/>
        <v>1737.5563652641001</v>
      </c>
      <c r="F68" s="80">
        <f t="shared" si="20"/>
        <v>1718.1459430822256</v>
      </c>
      <c r="G68" s="80">
        <f t="shared" si="20"/>
        <v>1733.8962870822256</v>
      </c>
      <c r="H68" s="80">
        <f t="shared" si="20"/>
        <v>1749.8041345222257</v>
      </c>
      <c r="I68" s="80">
        <f t="shared" si="20"/>
        <v>1765.8710604366256</v>
      </c>
      <c r="J68" s="80">
        <f t="shared" si="20"/>
        <v>1782.0986556101695</v>
      </c>
      <c r="K68" s="80">
        <f t="shared" si="20"/>
        <v>1798.4885267354489</v>
      </c>
      <c r="L68" s="80">
        <f t="shared" si="20"/>
        <v>1815.0422965719811</v>
      </c>
      <c r="M68" s="80">
        <f t="shared" si="20"/>
        <v>1831.7616041068788</v>
      </c>
      <c r="N68" s="80">
        <f t="shared" si="20"/>
        <v>1848.6481047171255</v>
      </c>
      <c r="O68" s="80">
        <f t="shared" si="20"/>
        <v>1865.7034703334743</v>
      </c>
      <c r="P68" s="300">
        <f t="shared" si="20"/>
        <v>1882.9293896059869</v>
      </c>
      <c r="Q68" s="50"/>
      <c r="R68" s="50"/>
      <c r="S68" s="50"/>
      <c r="T68" s="50"/>
      <c r="U68" s="50"/>
      <c r="V68" s="50"/>
      <c r="W68" s="50"/>
      <c r="X68" s="50"/>
      <c r="Y68" s="50"/>
      <c r="Z68" s="50"/>
    </row>
    <row r="69" spans="1:26" ht="15.75" customHeight="1" x14ac:dyDescent="0.35">
      <c r="A69" s="50"/>
      <c r="B69" s="53" t="s">
        <v>174</v>
      </c>
      <c r="C69" s="63" t="s">
        <v>325</v>
      </c>
      <c r="D69" s="80">
        <f t="shared" ref="D69:P69" si="21">D44*D57</f>
        <v>3212.8978734177217</v>
      </c>
      <c r="E69" s="80">
        <f t="shared" si="21"/>
        <v>3544.3707692307689</v>
      </c>
      <c r="F69" s="80">
        <f t="shared" si="21"/>
        <v>3863.8762526315786</v>
      </c>
      <c r="G69" s="80">
        <f t="shared" si="21"/>
        <v>3879.6265966315786</v>
      </c>
      <c r="H69" s="80">
        <f t="shared" si="21"/>
        <v>3895.5344440715789</v>
      </c>
      <c r="I69" s="80">
        <f t="shared" si="21"/>
        <v>3911.6013699859791</v>
      </c>
      <c r="J69" s="80">
        <f t="shared" si="21"/>
        <v>3927.8289651595228</v>
      </c>
      <c r="K69" s="80">
        <f t="shared" si="21"/>
        <v>3944.2188362848024</v>
      </c>
      <c r="L69" s="80">
        <f t="shared" si="21"/>
        <v>3960.7726061213343</v>
      </c>
      <c r="M69" s="80">
        <f t="shared" si="21"/>
        <v>3977.4919136562321</v>
      </c>
      <c r="N69" s="80">
        <f t="shared" si="21"/>
        <v>3994.378414266479</v>
      </c>
      <c r="O69" s="80">
        <f t="shared" si="21"/>
        <v>4011.4337798828274</v>
      </c>
      <c r="P69" s="300">
        <f t="shared" si="21"/>
        <v>4028.6596991553406</v>
      </c>
      <c r="Q69" s="50"/>
      <c r="R69" s="50"/>
      <c r="S69" s="50"/>
      <c r="T69" s="50"/>
      <c r="U69" s="50"/>
      <c r="V69" s="50"/>
      <c r="W69" s="50"/>
      <c r="X69" s="50"/>
      <c r="Y69" s="50"/>
      <c r="Z69" s="50"/>
    </row>
    <row r="70" spans="1:26" ht="15.75" customHeight="1" x14ac:dyDescent="0.35">
      <c r="A70" s="50"/>
      <c r="B70" s="53" t="s">
        <v>175</v>
      </c>
      <c r="C70" s="63" t="s">
        <v>325</v>
      </c>
      <c r="D70" s="80">
        <f t="shared" ref="D70:P70" si="22">D45*D58</f>
        <v>1732.8199620253163</v>
      </c>
      <c r="E70" s="80">
        <f t="shared" si="22"/>
        <v>1748.0945307692309</v>
      </c>
      <c r="F70" s="80">
        <f t="shared" si="22"/>
        <v>1752.5384755905513</v>
      </c>
      <c r="G70" s="80">
        <f t="shared" si="22"/>
        <v>1768.2888195905514</v>
      </c>
      <c r="H70" s="80">
        <f t="shared" si="22"/>
        <v>1784.1966670305515</v>
      </c>
      <c r="I70" s="80">
        <f t="shared" si="22"/>
        <v>1800.2635929449514</v>
      </c>
      <c r="J70" s="80">
        <f t="shared" si="22"/>
        <v>1816.4911881184951</v>
      </c>
      <c r="K70" s="80">
        <f t="shared" si="22"/>
        <v>1832.8810592437744</v>
      </c>
      <c r="L70" s="80">
        <f t="shared" si="22"/>
        <v>1849.4348290803068</v>
      </c>
      <c r="M70" s="80">
        <f t="shared" si="22"/>
        <v>1866.1541366152046</v>
      </c>
      <c r="N70" s="80">
        <f t="shared" si="22"/>
        <v>1883.0406372254511</v>
      </c>
      <c r="O70" s="80">
        <f t="shared" si="22"/>
        <v>1900.0960028417999</v>
      </c>
      <c r="P70" s="300">
        <f t="shared" si="22"/>
        <v>1917.3219221143127</v>
      </c>
      <c r="Q70" s="50"/>
      <c r="R70" s="50"/>
      <c r="S70" s="50"/>
      <c r="T70" s="50"/>
      <c r="U70" s="50"/>
      <c r="V70" s="50"/>
      <c r="W70" s="50"/>
      <c r="X70" s="50"/>
      <c r="Y70" s="50"/>
      <c r="Z70" s="50"/>
    </row>
    <row r="71" spans="1:26" ht="15.75" customHeight="1" x14ac:dyDescent="0.35">
      <c r="A71" s="50"/>
      <c r="B71" s="53" t="s">
        <v>176</v>
      </c>
      <c r="C71" s="63" t="s">
        <v>325</v>
      </c>
      <c r="D71" s="80">
        <f t="shared" ref="D71:P71" si="23">D46*D59</f>
        <v>2384.3220000000001</v>
      </c>
      <c r="E71" s="80">
        <f t="shared" si="23"/>
        <v>2388.2047058823528</v>
      </c>
      <c r="F71" s="80">
        <f t="shared" si="23"/>
        <v>2343.5737103448278</v>
      </c>
      <c r="G71" s="80">
        <f t="shared" si="23"/>
        <v>2359.3240543448273</v>
      </c>
      <c r="H71" s="80">
        <f t="shared" si="23"/>
        <v>2375.2319017848276</v>
      </c>
      <c r="I71" s="80">
        <f t="shared" si="23"/>
        <v>2391.2988276992273</v>
      </c>
      <c r="J71" s="80">
        <f t="shared" si="23"/>
        <v>2407.5264228727715</v>
      </c>
      <c r="K71" s="80">
        <f t="shared" si="23"/>
        <v>2423.9162939980506</v>
      </c>
      <c r="L71" s="80">
        <f t="shared" si="23"/>
        <v>2440.470063834583</v>
      </c>
      <c r="M71" s="80">
        <f t="shared" si="23"/>
        <v>2457.1893713694808</v>
      </c>
      <c r="N71" s="80">
        <f t="shared" si="23"/>
        <v>2474.0758719797273</v>
      </c>
      <c r="O71" s="80">
        <f t="shared" si="23"/>
        <v>2491.1312375960761</v>
      </c>
      <c r="P71" s="300">
        <f t="shared" si="23"/>
        <v>2508.3571568685888</v>
      </c>
      <c r="Q71" s="50"/>
      <c r="R71" s="50"/>
      <c r="S71" s="50"/>
      <c r="T71" s="50"/>
      <c r="U71" s="50"/>
      <c r="V71" s="50"/>
      <c r="W71" s="50"/>
      <c r="X71" s="50"/>
      <c r="Y71" s="50"/>
      <c r="Z71" s="50"/>
    </row>
    <row r="72" spans="1:26" ht="15.75" customHeight="1" x14ac:dyDescent="0.35">
      <c r="A72" s="50"/>
      <c r="B72" s="301" t="s">
        <v>200</v>
      </c>
      <c r="C72" s="63" t="s">
        <v>325</v>
      </c>
      <c r="D72" s="312">
        <f t="shared" ref="D72:P72" si="24">SUM(D61:D71)</f>
        <v>37592.755030709304</v>
      </c>
      <c r="E72" s="312">
        <f t="shared" si="24"/>
        <v>34940.866371146454</v>
      </c>
      <c r="F72" s="312">
        <f t="shared" si="24"/>
        <v>36468.899781649183</v>
      </c>
      <c r="G72" s="312">
        <f t="shared" si="24"/>
        <v>37323.27849164918</v>
      </c>
      <c r="H72" s="312">
        <f t="shared" si="24"/>
        <v>38212.374472749187</v>
      </c>
      <c r="I72" s="312">
        <f t="shared" si="24"/>
        <v>39137.843571860183</v>
      </c>
      <c r="J72" s="312">
        <f t="shared" si="24"/>
        <v>40101.423628072291</v>
      </c>
      <c r="K72" s="312">
        <f t="shared" si="24"/>
        <v>41104.938564262025</v>
      </c>
      <c r="L72" s="312">
        <f t="shared" si="24"/>
        <v>42150.302683199938</v>
      </c>
      <c r="M72" s="312">
        <f t="shared" si="24"/>
        <v>43239.525178382799</v>
      </c>
      <c r="N72" s="312">
        <f t="shared" si="24"/>
        <v>44374.714870325886</v>
      </c>
      <c r="O72" s="312">
        <f t="shared" si="24"/>
        <v>45558.085179587157</v>
      </c>
      <c r="P72" s="313">
        <f t="shared" si="24"/>
        <v>46791.959348359786</v>
      </c>
      <c r="Q72" s="50"/>
      <c r="R72" s="50"/>
      <c r="S72" s="50"/>
      <c r="T72" s="50"/>
      <c r="U72" s="50"/>
      <c r="V72" s="50"/>
      <c r="W72" s="50"/>
      <c r="X72" s="50"/>
      <c r="Y72" s="50"/>
      <c r="Z72" s="50"/>
    </row>
    <row r="73" spans="1:26" ht="15.75" customHeight="1" x14ac:dyDescent="0.35">
      <c r="A73" s="237"/>
      <c r="B73" s="46" t="s">
        <v>339</v>
      </c>
      <c r="C73" s="302" t="s">
        <v>202</v>
      </c>
      <c r="D73" s="240">
        <f>D19</f>
        <v>48</v>
      </c>
      <c r="E73" s="240">
        <f>D19</f>
        <v>48</v>
      </c>
      <c r="F73" s="240">
        <f>D20</f>
        <v>48</v>
      </c>
      <c r="G73" s="240">
        <f>D21</f>
        <v>48</v>
      </c>
      <c r="H73" s="240">
        <f>D22</f>
        <v>48</v>
      </c>
      <c r="I73" s="240">
        <f>D23</f>
        <v>48</v>
      </c>
      <c r="J73" s="240">
        <f>D24</f>
        <v>48</v>
      </c>
      <c r="K73" s="240">
        <f>D25</f>
        <v>48</v>
      </c>
      <c r="L73" s="240">
        <f>D26</f>
        <v>217</v>
      </c>
      <c r="M73" s="240">
        <f>D27</f>
        <v>217</v>
      </c>
      <c r="N73" s="240">
        <f>D28</f>
        <v>200</v>
      </c>
      <c r="O73" s="240">
        <f>D29</f>
        <v>193</v>
      </c>
      <c r="P73" s="241">
        <f>D30</f>
        <v>175</v>
      </c>
      <c r="Q73" s="237"/>
      <c r="R73" s="237"/>
      <c r="S73" s="237"/>
      <c r="T73" s="237"/>
      <c r="U73" s="237"/>
      <c r="V73" s="237"/>
      <c r="W73" s="237"/>
      <c r="X73" s="237"/>
      <c r="Y73" s="237"/>
      <c r="Z73" s="237"/>
    </row>
    <row r="74" spans="1:26" ht="15.75" customHeight="1" x14ac:dyDescent="0.35">
      <c r="A74" s="237"/>
      <c r="B74" s="46" t="s">
        <v>340</v>
      </c>
      <c r="C74" s="302" t="s">
        <v>202</v>
      </c>
      <c r="D74" s="118">
        <f t="shared" ref="D74:P74" si="25">(D72*D73)/1000</f>
        <v>1804.4522414740466</v>
      </c>
      <c r="E74" s="118">
        <f t="shared" si="25"/>
        <v>1677.1615858150296</v>
      </c>
      <c r="F74" s="118">
        <f t="shared" si="25"/>
        <v>1750.5071895191609</v>
      </c>
      <c r="G74" s="118">
        <f t="shared" si="25"/>
        <v>1791.5173675991607</v>
      </c>
      <c r="H74" s="118">
        <f t="shared" si="25"/>
        <v>1834.1939746919609</v>
      </c>
      <c r="I74" s="118">
        <f t="shared" si="25"/>
        <v>1878.6164914492888</v>
      </c>
      <c r="J74" s="118">
        <f t="shared" si="25"/>
        <v>1924.86833414747</v>
      </c>
      <c r="K74" s="118">
        <f t="shared" si="25"/>
        <v>1973.0370510845771</v>
      </c>
      <c r="L74" s="118">
        <f t="shared" si="25"/>
        <v>9146.6156822543871</v>
      </c>
      <c r="M74" s="118">
        <f t="shared" si="25"/>
        <v>9382.9769637090667</v>
      </c>
      <c r="N74" s="118">
        <f t="shared" si="25"/>
        <v>8874.9429740651776</v>
      </c>
      <c r="O74" s="118">
        <f t="shared" si="25"/>
        <v>8792.7104396603227</v>
      </c>
      <c r="P74" s="119">
        <f t="shared" si="25"/>
        <v>8188.5928859629621</v>
      </c>
      <c r="Q74" s="237"/>
      <c r="R74" s="237"/>
      <c r="S74" s="237"/>
      <c r="T74" s="237"/>
      <c r="U74" s="237"/>
      <c r="V74" s="237"/>
      <c r="W74" s="237"/>
      <c r="X74" s="237"/>
      <c r="Y74" s="237"/>
      <c r="Z74" s="237"/>
    </row>
    <row r="75" spans="1:26" ht="15.75" customHeight="1" x14ac:dyDescent="0.35">
      <c r="A75" s="50"/>
      <c r="B75" s="131" t="s">
        <v>137</v>
      </c>
      <c r="C75" s="303" t="s">
        <v>138</v>
      </c>
      <c r="D75" s="133">
        <f t="array" ref="D75">NPV(D31,D74:P74)</f>
        <v>37852.204397910748</v>
      </c>
      <c r="E75" s="134"/>
      <c r="F75" s="134"/>
      <c r="G75" s="134"/>
      <c r="H75" s="134"/>
      <c r="I75" s="134"/>
      <c r="J75" s="134"/>
      <c r="K75" s="134"/>
      <c r="L75" s="134"/>
      <c r="M75" s="134"/>
      <c r="N75" s="134"/>
      <c r="O75" s="134"/>
      <c r="P75" s="136"/>
      <c r="Q75" s="50"/>
      <c r="R75" s="50"/>
      <c r="S75" s="50"/>
      <c r="T75" s="50"/>
      <c r="U75" s="50"/>
      <c r="V75" s="50"/>
      <c r="W75" s="50"/>
      <c r="X75" s="50"/>
      <c r="Y75" s="50"/>
      <c r="Z75" s="50"/>
    </row>
    <row r="76" spans="1:26" ht="15.75" customHeight="1" x14ac:dyDescent="0.35">
      <c r="A76" s="50"/>
      <c r="B76" s="50"/>
      <c r="C76" s="63"/>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x14ac:dyDescent="0.35">
      <c r="A77" s="50"/>
      <c r="B77" s="202"/>
      <c r="C77" s="63"/>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x14ac:dyDescent="0.35">
      <c r="A78" s="50"/>
      <c r="B78" s="307"/>
      <c r="C78" s="63"/>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x14ac:dyDescent="0.35">
      <c r="A79" s="50"/>
      <c r="B79" s="307"/>
      <c r="C79" s="63"/>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x14ac:dyDescent="0.35">
      <c r="A80" s="50"/>
      <c r="B80" s="307"/>
      <c r="C80" s="63"/>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x14ac:dyDescent="0.35">
      <c r="A81" s="50"/>
      <c r="B81" s="307"/>
      <c r="C81" s="63"/>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x14ac:dyDescent="0.35">
      <c r="A82" s="50"/>
      <c r="B82" s="307"/>
      <c r="C82" s="63"/>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x14ac:dyDescent="0.35">
      <c r="A83" s="50"/>
      <c r="B83" s="50"/>
      <c r="C83" s="63"/>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x14ac:dyDescent="0.35">
      <c r="A84" s="50"/>
      <c r="B84" s="50"/>
      <c r="C84" s="63"/>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x14ac:dyDescent="0.35">
      <c r="A85" s="50"/>
      <c r="B85" s="50"/>
      <c r="C85" s="63"/>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x14ac:dyDescent="0.35">
      <c r="A86" s="50"/>
      <c r="B86" s="304"/>
      <c r="C86" s="63"/>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x14ac:dyDescent="0.35">
      <c r="A87" s="50"/>
      <c r="B87" s="50"/>
      <c r="C87" s="63"/>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35">
      <c r="A88" s="50"/>
      <c r="B88" s="50"/>
      <c r="C88" s="63"/>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35">
      <c r="A89" s="50"/>
      <c r="B89" s="50"/>
      <c r="C89" s="63"/>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35">
      <c r="A90" s="50"/>
      <c r="B90" s="50"/>
      <c r="C90" s="63"/>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35">
      <c r="A91" s="50"/>
      <c r="B91" s="50"/>
      <c r="C91" s="63"/>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35">
      <c r="A92" s="50"/>
      <c r="B92" s="50"/>
      <c r="C92" s="63"/>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35">
      <c r="A93" s="50"/>
      <c r="B93" s="50"/>
      <c r="C93" s="63"/>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35">
      <c r="A94" s="50"/>
      <c r="B94" s="50"/>
      <c r="C94" s="63"/>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35">
      <c r="A95" s="50"/>
      <c r="B95" s="50"/>
      <c r="C95" s="63"/>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35">
      <c r="A96" s="50"/>
      <c r="B96" s="50"/>
      <c r="C96" s="63"/>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35">
      <c r="A97" s="50"/>
      <c r="B97" s="50"/>
      <c r="C97" s="63"/>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35">
      <c r="A98" s="50"/>
      <c r="B98" s="50"/>
      <c r="C98" s="63"/>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35">
      <c r="A99" s="50"/>
      <c r="B99" s="50"/>
      <c r="C99" s="63"/>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35">
      <c r="A100" s="50"/>
      <c r="B100" s="50"/>
      <c r="C100" s="63"/>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35">
      <c r="A101" s="50"/>
      <c r="B101" s="50"/>
      <c r="C101" s="63"/>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35">
      <c r="A102" s="50"/>
      <c r="B102" s="50"/>
      <c r="C102" s="63"/>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35">
      <c r="A103" s="50"/>
      <c r="B103" s="50"/>
      <c r="C103" s="63"/>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35">
      <c r="A104" s="50"/>
      <c r="B104" s="50"/>
      <c r="C104" s="63"/>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35">
      <c r="A105" s="50"/>
      <c r="B105" s="50"/>
      <c r="C105" s="63"/>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35">
      <c r="A106" s="50"/>
      <c r="B106" s="50"/>
      <c r="C106" s="63"/>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35">
      <c r="A107" s="50"/>
      <c r="B107" s="50"/>
      <c r="C107" s="63"/>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35">
      <c r="A108" s="50"/>
      <c r="B108" s="50"/>
      <c r="C108" s="63"/>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35">
      <c r="A109" s="50"/>
      <c r="B109" s="50"/>
      <c r="C109" s="63"/>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35">
      <c r="A110" s="50"/>
      <c r="B110" s="50"/>
      <c r="C110" s="63"/>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35">
      <c r="A111" s="50"/>
      <c r="B111" s="50"/>
      <c r="C111" s="63"/>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35">
      <c r="A112" s="50"/>
      <c r="B112" s="50"/>
      <c r="C112" s="63"/>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35">
      <c r="A113" s="50"/>
      <c r="B113" s="50"/>
      <c r="C113" s="63"/>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50"/>
      <c r="C114" s="63"/>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63"/>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63"/>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63"/>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63"/>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63"/>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63"/>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63"/>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63"/>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63"/>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63"/>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63"/>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63"/>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63"/>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63"/>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63"/>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63"/>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63"/>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63"/>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63"/>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63"/>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63"/>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63"/>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63"/>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63"/>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63"/>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63"/>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63"/>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63"/>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63"/>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63"/>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63"/>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63"/>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63"/>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63"/>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63"/>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63"/>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63"/>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63"/>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63"/>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63"/>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63"/>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63"/>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63"/>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63"/>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63"/>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63"/>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63"/>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63"/>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63"/>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63"/>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63"/>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63"/>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63"/>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63"/>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63"/>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63"/>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308"/>
      <c r="B218" s="308"/>
      <c r="C218" s="309"/>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spans="1:26" ht="15.75" customHeight="1" x14ac:dyDescent="0.35">
      <c r="A219" s="308"/>
      <c r="B219" s="308"/>
      <c r="C219" s="309"/>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spans="1:26" ht="15.75" customHeight="1" x14ac:dyDescent="0.35">
      <c r="A220" s="308"/>
      <c r="B220" s="308"/>
      <c r="C220" s="309"/>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spans="1:26" ht="15.75" customHeight="1" x14ac:dyDescent="0.35">
      <c r="A221" s="308"/>
      <c r="B221" s="308"/>
      <c r="C221" s="309"/>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spans="1:26" ht="15.75" customHeight="1" x14ac:dyDescent="0.35">
      <c r="A222" s="308"/>
      <c r="B222" s="308"/>
      <c r="C222" s="309"/>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spans="1:26" ht="15.75" customHeight="1" x14ac:dyDescent="0.35">
      <c r="A223" s="308"/>
      <c r="B223" s="308"/>
      <c r="C223" s="309"/>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spans="1:26" ht="15.75" customHeight="1" x14ac:dyDescent="0.35">
      <c r="A224" s="308"/>
      <c r="B224" s="308"/>
      <c r="C224" s="309"/>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spans="1:26" ht="15.75" customHeight="1" x14ac:dyDescent="0.35">
      <c r="A225" s="308"/>
      <c r="B225" s="308"/>
      <c r="C225" s="309"/>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spans="1:26" ht="15.75" customHeight="1" x14ac:dyDescent="0.35">
      <c r="A226" s="308"/>
      <c r="B226" s="308"/>
      <c r="C226" s="309"/>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spans="1:26" ht="15.75" customHeight="1" x14ac:dyDescent="0.35">
      <c r="A227" s="308"/>
      <c r="B227" s="308"/>
      <c r="C227" s="309"/>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spans="1:26" ht="15.75" customHeight="1" x14ac:dyDescent="0.35">
      <c r="A228" s="308"/>
      <c r="B228" s="308"/>
      <c r="C228" s="309"/>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spans="1:26" ht="15.75" customHeight="1" x14ac:dyDescent="0.35">
      <c r="A229" s="308"/>
      <c r="B229" s="308"/>
      <c r="C229" s="309"/>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spans="1:26" ht="15.75" customHeight="1" x14ac:dyDescent="0.35">
      <c r="A230" s="308"/>
      <c r="B230" s="308"/>
      <c r="C230" s="309"/>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spans="1:26" ht="15.75" customHeight="1" x14ac:dyDescent="0.35">
      <c r="A231" s="308"/>
      <c r="B231" s="308"/>
      <c r="C231" s="309"/>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spans="1:26" ht="15.75" customHeight="1" x14ac:dyDescent="0.35">
      <c r="A232" s="308"/>
      <c r="B232" s="308"/>
      <c r="C232" s="309"/>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spans="1:26" ht="15.75" customHeight="1" x14ac:dyDescent="0.35">
      <c r="A233" s="308"/>
      <c r="B233" s="308"/>
      <c r="C233" s="309"/>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spans="1:26" ht="15.75" customHeight="1" x14ac:dyDescent="0.35">
      <c r="A234" s="308"/>
      <c r="B234" s="308"/>
      <c r="C234" s="309"/>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spans="1:26" ht="15.75" customHeight="1" x14ac:dyDescent="0.35">
      <c r="A235" s="308"/>
      <c r="B235" s="308"/>
      <c r="C235" s="309"/>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spans="1:26" ht="15.75" customHeight="1" x14ac:dyDescent="0.35">
      <c r="A236" s="308"/>
      <c r="B236" s="308"/>
      <c r="C236" s="309"/>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spans="1:26" ht="15.75" customHeight="1" x14ac:dyDescent="0.35">
      <c r="A237" s="308"/>
      <c r="B237" s="308"/>
      <c r="C237" s="309"/>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spans="1:26" ht="15.75" customHeight="1" x14ac:dyDescent="0.35">
      <c r="A238" s="308"/>
      <c r="B238" s="308"/>
      <c r="C238" s="309"/>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spans="1:26" ht="15.75" customHeight="1" x14ac:dyDescent="0.35">
      <c r="A239" s="308"/>
      <c r="B239" s="308"/>
      <c r="C239" s="309"/>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5.75" customHeight="1" x14ac:dyDescent="0.35">
      <c r="A240" s="308"/>
      <c r="B240" s="308"/>
      <c r="C240" s="309"/>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5.75" customHeight="1" x14ac:dyDescent="0.35">
      <c r="A241" s="308"/>
      <c r="B241" s="308"/>
      <c r="C241" s="309"/>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5.75" customHeight="1" x14ac:dyDescent="0.35">
      <c r="A242" s="308"/>
      <c r="B242" s="308"/>
      <c r="C242" s="309"/>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5.75" customHeight="1" x14ac:dyDescent="0.35">
      <c r="A243" s="308"/>
      <c r="B243" s="308"/>
      <c r="C243" s="309"/>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5.75" customHeight="1" x14ac:dyDescent="0.35">
      <c r="A244" s="308"/>
      <c r="B244" s="308"/>
      <c r="C244" s="309"/>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5.75" customHeight="1" x14ac:dyDescent="0.35">
      <c r="A245" s="308"/>
      <c r="B245" s="308"/>
      <c r="C245" s="309"/>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5.75" customHeight="1" x14ac:dyDescent="0.35">
      <c r="A246" s="308"/>
      <c r="B246" s="308"/>
      <c r="C246" s="309"/>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5.75" customHeight="1" x14ac:dyDescent="0.35">
      <c r="A247" s="308"/>
      <c r="B247" s="308"/>
      <c r="C247" s="309"/>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5.75" customHeight="1" x14ac:dyDescent="0.35">
      <c r="A248" s="308"/>
      <c r="B248" s="308"/>
      <c r="C248" s="309"/>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5.75" customHeight="1" x14ac:dyDescent="0.35">
      <c r="A249" s="308"/>
      <c r="B249" s="308"/>
      <c r="C249" s="309"/>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5.75" customHeight="1" x14ac:dyDescent="0.35">
      <c r="A250" s="308"/>
      <c r="B250" s="308"/>
      <c r="C250" s="309"/>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5.75" customHeight="1" x14ac:dyDescent="0.35">
      <c r="A251" s="308"/>
      <c r="B251" s="308"/>
      <c r="C251" s="309"/>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5.75" customHeight="1" x14ac:dyDescent="0.35">
      <c r="A252" s="308"/>
      <c r="B252" s="308"/>
      <c r="C252" s="309"/>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5.75" customHeight="1" x14ac:dyDescent="0.35">
      <c r="A253" s="308"/>
      <c r="B253" s="308"/>
      <c r="C253" s="309"/>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5.75" customHeight="1" x14ac:dyDescent="0.35">
      <c r="A254" s="308"/>
      <c r="B254" s="308"/>
      <c r="C254" s="309"/>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5.75" customHeight="1" x14ac:dyDescent="0.35">
      <c r="A255" s="308"/>
      <c r="B255" s="308"/>
      <c r="C255" s="309"/>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5.75" customHeight="1" x14ac:dyDescent="0.35">
      <c r="A256" s="308"/>
      <c r="B256" s="308"/>
      <c r="C256" s="309"/>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5.75" customHeight="1" x14ac:dyDescent="0.35">
      <c r="A257" s="308"/>
      <c r="B257" s="308"/>
      <c r="C257" s="309"/>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5.75" customHeight="1" x14ac:dyDescent="0.35">
      <c r="A258" s="308"/>
      <c r="B258" s="308"/>
      <c r="C258" s="309"/>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5.75" customHeight="1" x14ac:dyDescent="0.35">
      <c r="A259" s="308"/>
      <c r="B259" s="308"/>
      <c r="C259" s="309"/>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5.75" customHeight="1" x14ac:dyDescent="0.35">
      <c r="A260" s="308"/>
      <c r="B260" s="308"/>
      <c r="C260" s="309"/>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5.75" customHeight="1" x14ac:dyDescent="0.35">
      <c r="A261" s="308"/>
      <c r="B261" s="308"/>
      <c r="C261" s="309"/>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5.75" customHeight="1" x14ac:dyDescent="0.35">
      <c r="A262" s="308"/>
      <c r="B262" s="308"/>
      <c r="C262" s="309"/>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5.75" customHeight="1" x14ac:dyDescent="0.35">
      <c r="A263" s="308"/>
      <c r="B263" s="308"/>
      <c r="C263" s="309"/>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5.75" customHeight="1" x14ac:dyDescent="0.35">
      <c r="A264" s="308"/>
      <c r="B264" s="308"/>
      <c r="C264" s="309"/>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5.75" customHeight="1" x14ac:dyDescent="0.35">
      <c r="A265" s="308"/>
      <c r="B265" s="308"/>
      <c r="C265" s="309"/>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5.75" customHeight="1" x14ac:dyDescent="0.35">
      <c r="A266" s="308"/>
      <c r="B266" s="308"/>
      <c r="C266" s="309"/>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5.75" customHeight="1" x14ac:dyDescent="0.35">
      <c r="A267" s="308"/>
      <c r="B267" s="308"/>
      <c r="C267" s="309"/>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5.75" customHeight="1" x14ac:dyDescent="0.35">
      <c r="A268" s="308"/>
      <c r="B268" s="308"/>
      <c r="C268" s="309"/>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5.75" customHeight="1" x14ac:dyDescent="0.35">
      <c r="A269" s="308"/>
      <c r="B269" s="308"/>
      <c r="C269" s="309"/>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5.75" customHeight="1" x14ac:dyDescent="0.35">
      <c r="A270" s="308"/>
      <c r="B270" s="308"/>
      <c r="C270" s="309"/>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5.75" customHeight="1" x14ac:dyDescent="0.35">
      <c r="A271" s="308"/>
      <c r="B271" s="308"/>
      <c r="C271" s="309"/>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5.75" customHeight="1" x14ac:dyDescent="0.35">
      <c r="A272" s="308"/>
      <c r="B272" s="308"/>
      <c r="C272" s="309"/>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5.75" customHeight="1" x14ac:dyDescent="0.35">
      <c r="A273" s="308"/>
      <c r="B273" s="308"/>
      <c r="C273" s="309"/>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5.75" customHeight="1" x14ac:dyDescent="0.35">
      <c r="A274" s="308"/>
      <c r="B274" s="308"/>
      <c r="C274" s="309"/>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5.75" customHeight="1" x14ac:dyDescent="0.35">
      <c r="A275" s="308"/>
      <c r="B275" s="308"/>
      <c r="C275" s="309"/>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5.75" customHeight="1" x14ac:dyDescent="0.35">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5.75" customHeight="1" x14ac:dyDescent="0.35">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5.75" customHeight="1" x14ac:dyDescent="0.35">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5.75" customHeight="1" x14ac:dyDescent="0.35">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5.75" customHeight="1" x14ac:dyDescent="0.35">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5.75" customHeight="1" x14ac:dyDescent="0.35">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5.75" customHeight="1" x14ac:dyDescent="0.35">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5.75" customHeight="1" x14ac:dyDescent="0.35">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5.75" customHeight="1" x14ac:dyDescent="0.35">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5.75" customHeight="1" x14ac:dyDescent="0.3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5.75" customHeight="1" x14ac:dyDescent="0.3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5.75" customHeight="1" x14ac:dyDescent="0.3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5.75" customHeight="1" x14ac:dyDescent="0.3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5.75" customHeight="1" x14ac:dyDescent="0.3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5.75" customHeight="1" x14ac:dyDescent="0.3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5.75" customHeight="1" x14ac:dyDescent="0.3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5.75" customHeight="1" x14ac:dyDescent="0.3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5.75" customHeight="1" x14ac:dyDescent="0.3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5.75" customHeight="1" x14ac:dyDescent="0.3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5.75" customHeight="1" x14ac:dyDescent="0.3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5.75" customHeight="1" x14ac:dyDescent="0.3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5.75" customHeight="1" x14ac:dyDescent="0.3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5.75" customHeight="1" x14ac:dyDescent="0.3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5.75" customHeight="1" x14ac:dyDescent="0.3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5.75" customHeight="1" x14ac:dyDescent="0.3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5.75" customHeight="1" x14ac:dyDescent="0.3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5.75" customHeight="1" x14ac:dyDescent="0.3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5.75" customHeight="1" x14ac:dyDescent="0.3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5.75" customHeight="1" x14ac:dyDescent="0.3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5.75" customHeight="1" x14ac:dyDescent="0.3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5.75" customHeight="1" x14ac:dyDescent="0.3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5.75" customHeight="1" x14ac:dyDescent="0.3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5.75" customHeight="1" x14ac:dyDescent="0.3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5.75" customHeight="1" x14ac:dyDescent="0.3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5.75" customHeight="1" x14ac:dyDescent="0.3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5.75" customHeight="1" x14ac:dyDescent="0.3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5.75" customHeight="1" x14ac:dyDescent="0.3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5.75" customHeight="1" x14ac:dyDescent="0.3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5.75" customHeight="1" x14ac:dyDescent="0.3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5.75" customHeight="1" x14ac:dyDescent="0.3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5.75" customHeight="1" x14ac:dyDescent="0.3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5.75" customHeight="1" x14ac:dyDescent="0.3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5.75" customHeight="1" x14ac:dyDescent="0.3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5.75" customHeight="1" x14ac:dyDescent="0.3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5.75" customHeight="1" x14ac:dyDescent="0.3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5.75" customHeight="1" x14ac:dyDescent="0.3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5.75" customHeight="1" x14ac:dyDescent="0.3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5.75" customHeight="1" x14ac:dyDescent="0.3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5.75" customHeight="1" x14ac:dyDescent="0.3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5.75" customHeight="1" x14ac:dyDescent="0.3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5.75" customHeight="1" x14ac:dyDescent="0.3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5.75" customHeight="1" x14ac:dyDescent="0.3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5.75" customHeight="1" x14ac:dyDescent="0.3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5.75" customHeight="1" x14ac:dyDescent="0.3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5.75" customHeight="1" x14ac:dyDescent="0.3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5.75" customHeight="1" x14ac:dyDescent="0.3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5.75" customHeight="1" x14ac:dyDescent="0.3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5.75" customHeight="1" x14ac:dyDescent="0.3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5.75" customHeight="1" x14ac:dyDescent="0.3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5.75" customHeight="1" x14ac:dyDescent="0.3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5.75" customHeight="1" x14ac:dyDescent="0.3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5.75" customHeight="1" x14ac:dyDescent="0.3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5.75" customHeight="1" x14ac:dyDescent="0.3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5.75" customHeight="1" x14ac:dyDescent="0.3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5.75" customHeight="1" x14ac:dyDescent="0.3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5.75" customHeight="1" x14ac:dyDescent="0.3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5.75" customHeight="1" x14ac:dyDescent="0.3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5.75" customHeight="1" x14ac:dyDescent="0.3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5.75" customHeight="1" x14ac:dyDescent="0.3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5.75" customHeight="1" x14ac:dyDescent="0.3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5.75" customHeight="1" x14ac:dyDescent="0.3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5.75" customHeight="1" x14ac:dyDescent="0.3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5.75" customHeight="1" x14ac:dyDescent="0.3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5.75" customHeight="1" x14ac:dyDescent="0.3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5.75" customHeight="1" x14ac:dyDescent="0.3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5.75" customHeight="1" x14ac:dyDescent="0.3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5.75" customHeight="1" x14ac:dyDescent="0.3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5.75" customHeight="1" x14ac:dyDescent="0.3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5.75" customHeight="1" x14ac:dyDescent="0.3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5.75" customHeight="1" x14ac:dyDescent="0.3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5.75" customHeight="1" x14ac:dyDescent="0.3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5.75" customHeight="1" x14ac:dyDescent="0.3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5.75" customHeight="1" x14ac:dyDescent="0.3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5.75" customHeight="1" x14ac:dyDescent="0.3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5.75" customHeight="1" x14ac:dyDescent="0.3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5.75" customHeight="1" x14ac:dyDescent="0.3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5.75" customHeight="1" x14ac:dyDescent="0.3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5.75" customHeight="1" x14ac:dyDescent="0.3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5.75" customHeight="1" x14ac:dyDescent="0.3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5.75" customHeight="1" x14ac:dyDescent="0.3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5.75" customHeight="1" x14ac:dyDescent="0.3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5.75" customHeight="1" x14ac:dyDescent="0.3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5.75" customHeight="1" x14ac:dyDescent="0.3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5.75" customHeight="1" x14ac:dyDescent="0.3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5.75" customHeight="1" x14ac:dyDescent="0.3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5.75" customHeight="1" x14ac:dyDescent="0.3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5.75" customHeight="1" x14ac:dyDescent="0.3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5.75" customHeight="1" x14ac:dyDescent="0.3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5.75" customHeight="1" x14ac:dyDescent="0.3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5.75" customHeight="1" x14ac:dyDescent="0.3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5.75" customHeight="1" x14ac:dyDescent="0.3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5.75" customHeight="1" x14ac:dyDescent="0.3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5.75" customHeight="1" x14ac:dyDescent="0.3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5.75" customHeight="1" x14ac:dyDescent="0.3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5.75" customHeight="1" x14ac:dyDescent="0.3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5.75" customHeight="1" x14ac:dyDescent="0.3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5.75" customHeight="1" x14ac:dyDescent="0.3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5.75" customHeight="1" x14ac:dyDescent="0.3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5.75" customHeight="1" x14ac:dyDescent="0.3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5.75" customHeight="1" x14ac:dyDescent="0.3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5.75" customHeight="1" x14ac:dyDescent="0.3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5.75" customHeight="1" x14ac:dyDescent="0.3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5.75" customHeight="1" x14ac:dyDescent="0.3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5.75" customHeight="1" x14ac:dyDescent="0.3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5.75" customHeight="1" x14ac:dyDescent="0.3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5.75" customHeight="1" x14ac:dyDescent="0.3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5.75" customHeight="1" x14ac:dyDescent="0.3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5.75" customHeight="1" x14ac:dyDescent="0.3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5.75" customHeight="1" x14ac:dyDescent="0.3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5.75" customHeight="1" x14ac:dyDescent="0.3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5.75" customHeight="1" x14ac:dyDescent="0.3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5.75" customHeight="1" x14ac:dyDescent="0.3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5.75" customHeight="1" x14ac:dyDescent="0.3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5.75" customHeight="1" x14ac:dyDescent="0.3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5.75" customHeight="1" x14ac:dyDescent="0.3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5.75" customHeight="1" x14ac:dyDescent="0.3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5.75" customHeight="1" x14ac:dyDescent="0.3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5.75" customHeight="1" x14ac:dyDescent="0.3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5.75" customHeight="1" x14ac:dyDescent="0.3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5.75" customHeight="1" x14ac:dyDescent="0.3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5.75" customHeight="1" x14ac:dyDescent="0.3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5.75" customHeight="1" x14ac:dyDescent="0.3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5.75" customHeight="1" x14ac:dyDescent="0.3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5.75" customHeight="1" x14ac:dyDescent="0.3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5.75" customHeight="1" x14ac:dyDescent="0.3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5.75" customHeight="1" x14ac:dyDescent="0.3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5.75" customHeight="1" x14ac:dyDescent="0.3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5.75" customHeight="1" x14ac:dyDescent="0.3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5.75" customHeight="1" x14ac:dyDescent="0.3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5.75" customHeight="1" x14ac:dyDescent="0.3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5.75" customHeight="1" x14ac:dyDescent="0.3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5.75" customHeight="1" x14ac:dyDescent="0.3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5.75" customHeight="1" x14ac:dyDescent="0.3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5.75" customHeight="1" x14ac:dyDescent="0.3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5.75" customHeight="1" x14ac:dyDescent="0.3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5.75" customHeight="1" x14ac:dyDescent="0.3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5.75" customHeight="1" x14ac:dyDescent="0.3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5.75" customHeight="1" x14ac:dyDescent="0.3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5.75" customHeight="1" x14ac:dyDescent="0.3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5.75" customHeight="1" x14ac:dyDescent="0.3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5.75" customHeight="1" x14ac:dyDescent="0.3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5.75" customHeight="1" x14ac:dyDescent="0.3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5.75" customHeight="1" x14ac:dyDescent="0.3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5.75" customHeight="1" x14ac:dyDescent="0.3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5.75" customHeight="1" x14ac:dyDescent="0.3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5.75" customHeight="1" x14ac:dyDescent="0.3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5.75" customHeight="1" x14ac:dyDescent="0.3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5.75" customHeight="1" x14ac:dyDescent="0.3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5.75" customHeight="1" x14ac:dyDescent="0.3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5.75" customHeight="1" x14ac:dyDescent="0.3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5.75" customHeight="1" x14ac:dyDescent="0.3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5.75" customHeight="1" x14ac:dyDescent="0.3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5.75" customHeight="1" x14ac:dyDescent="0.3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5.75" customHeight="1" x14ac:dyDescent="0.3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5.75" customHeight="1" x14ac:dyDescent="0.3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5.75" customHeight="1" x14ac:dyDescent="0.3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5.75" customHeight="1" x14ac:dyDescent="0.3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5.75" customHeight="1" x14ac:dyDescent="0.3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5.75" customHeight="1" x14ac:dyDescent="0.3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5.75" customHeight="1" x14ac:dyDescent="0.3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5.75" customHeight="1" x14ac:dyDescent="0.3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5.75" customHeight="1" x14ac:dyDescent="0.3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5.75" customHeight="1" x14ac:dyDescent="0.3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5.75" customHeight="1" x14ac:dyDescent="0.3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5.75" customHeight="1" x14ac:dyDescent="0.3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5.75" customHeight="1" x14ac:dyDescent="0.3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5.75" customHeight="1" x14ac:dyDescent="0.3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5.75" customHeight="1" x14ac:dyDescent="0.3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5.75" customHeight="1" x14ac:dyDescent="0.3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5.75" customHeight="1" x14ac:dyDescent="0.3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5.75" customHeight="1" x14ac:dyDescent="0.3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5.75" customHeight="1" x14ac:dyDescent="0.3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5.75" customHeight="1" x14ac:dyDescent="0.3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5.75" customHeight="1" x14ac:dyDescent="0.3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5.75" customHeight="1" x14ac:dyDescent="0.3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5.75" customHeight="1" x14ac:dyDescent="0.3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5.75" customHeight="1" x14ac:dyDescent="0.3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5.75" customHeight="1" x14ac:dyDescent="0.3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5.75" customHeight="1" x14ac:dyDescent="0.3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5.75" customHeight="1" x14ac:dyDescent="0.3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5.75" customHeight="1" x14ac:dyDescent="0.3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5.75" customHeight="1" x14ac:dyDescent="0.3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5.75" customHeight="1" x14ac:dyDescent="0.3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5.75" customHeight="1" x14ac:dyDescent="0.3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5.75" customHeight="1" x14ac:dyDescent="0.3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5.75" customHeight="1" x14ac:dyDescent="0.3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5.75" customHeight="1" x14ac:dyDescent="0.3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5.75" customHeight="1" x14ac:dyDescent="0.3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5.75" customHeight="1" x14ac:dyDescent="0.3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5.75" customHeight="1" x14ac:dyDescent="0.3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5.75" customHeight="1" x14ac:dyDescent="0.3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5.75" customHeight="1" x14ac:dyDescent="0.3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5.75" customHeight="1" x14ac:dyDescent="0.3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5.75" customHeight="1" x14ac:dyDescent="0.3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5.75" customHeight="1" x14ac:dyDescent="0.3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5.75" customHeight="1" x14ac:dyDescent="0.3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5.75" customHeight="1" x14ac:dyDescent="0.3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5.75" customHeight="1" x14ac:dyDescent="0.3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5.75" customHeight="1" x14ac:dyDescent="0.3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5.75" customHeight="1" x14ac:dyDescent="0.3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5.75" customHeight="1" x14ac:dyDescent="0.3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5.75" customHeight="1" x14ac:dyDescent="0.3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5.75" customHeight="1" x14ac:dyDescent="0.3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5.75" customHeight="1" x14ac:dyDescent="0.3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5.75" customHeight="1" x14ac:dyDescent="0.3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5.75" customHeight="1" x14ac:dyDescent="0.3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5.75" customHeight="1" x14ac:dyDescent="0.3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5.75" customHeight="1" x14ac:dyDescent="0.3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5.75" customHeight="1" x14ac:dyDescent="0.3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5.75" customHeight="1" x14ac:dyDescent="0.3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5.75" customHeight="1" x14ac:dyDescent="0.3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5.75" customHeight="1" x14ac:dyDescent="0.3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5.75" customHeight="1" x14ac:dyDescent="0.3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5.75" customHeight="1" x14ac:dyDescent="0.3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5.75" customHeight="1" x14ac:dyDescent="0.3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5.75" customHeight="1" x14ac:dyDescent="0.3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5.75" customHeight="1" x14ac:dyDescent="0.3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5.75" customHeight="1" x14ac:dyDescent="0.3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5.75" customHeight="1" x14ac:dyDescent="0.3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5.75" customHeight="1" x14ac:dyDescent="0.3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5.75" customHeight="1" x14ac:dyDescent="0.3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5.75" customHeight="1" x14ac:dyDescent="0.3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5.75" customHeight="1" x14ac:dyDescent="0.3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5.75" customHeight="1" x14ac:dyDescent="0.3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5.75" customHeight="1" x14ac:dyDescent="0.3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5.75" customHeight="1" x14ac:dyDescent="0.3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5.75" customHeight="1" x14ac:dyDescent="0.3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5.75" customHeight="1" x14ac:dyDescent="0.3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5.75" customHeight="1" x14ac:dyDescent="0.3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5.75" customHeight="1" x14ac:dyDescent="0.3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5.75" customHeight="1" x14ac:dyDescent="0.3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5.75" customHeight="1" x14ac:dyDescent="0.3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5.75" customHeight="1" x14ac:dyDescent="0.3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5.75" customHeight="1" x14ac:dyDescent="0.3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5.75" customHeight="1" x14ac:dyDescent="0.3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5.75" customHeight="1" x14ac:dyDescent="0.3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5.75" customHeight="1" x14ac:dyDescent="0.3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5.75" customHeight="1" x14ac:dyDescent="0.3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5.75" customHeight="1" x14ac:dyDescent="0.3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5.75" customHeight="1" x14ac:dyDescent="0.3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5.75" customHeight="1" x14ac:dyDescent="0.3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5.75" customHeight="1" x14ac:dyDescent="0.3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5.75" customHeight="1" x14ac:dyDescent="0.3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5.75" customHeight="1" x14ac:dyDescent="0.3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5.75" customHeight="1" x14ac:dyDescent="0.3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5.75" customHeight="1" x14ac:dyDescent="0.3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5.75" customHeight="1" x14ac:dyDescent="0.3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5.75" customHeight="1" x14ac:dyDescent="0.3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5.75" customHeight="1" x14ac:dyDescent="0.3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5.75" customHeight="1" x14ac:dyDescent="0.3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5.75" customHeight="1" x14ac:dyDescent="0.3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5.75" customHeight="1" x14ac:dyDescent="0.3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5.75" customHeight="1" x14ac:dyDescent="0.3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5.75" customHeight="1" x14ac:dyDescent="0.3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5.75" customHeight="1" x14ac:dyDescent="0.3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5.75" customHeight="1" x14ac:dyDescent="0.3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5.75" customHeight="1" x14ac:dyDescent="0.3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5.75" customHeight="1" x14ac:dyDescent="0.3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5.75" customHeight="1" x14ac:dyDescent="0.3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5.75" customHeight="1" x14ac:dyDescent="0.3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5.75" customHeight="1" x14ac:dyDescent="0.3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5.75" customHeight="1" x14ac:dyDescent="0.3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5.75" customHeight="1" x14ac:dyDescent="0.3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5.75" customHeight="1" x14ac:dyDescent="0.3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5.75" customHeight="1" x14ac:dyDescent="0.3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5.75" customHeight="1" x14ac:dyDescent="0.3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5.75" customHeight="1" x14ac:dyDescent="0.3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5.75" customHeight="1" x14ac:dyDescent="0.3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5.75" customHeight="1" x14ac:dyDescent="0.3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5.75" customHeight="1" x14ac:dyDescent="0.3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5.75" customHeight="1" x14ac:dyDescent="0.3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5.75" customHeight="1" x14ac:dyDescent="0.3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5.75" customHeight="1" x14ac:dyDescent="0.3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5.75" customHeight="1" x14ac:dyDescent="0.3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5.75" customHeight="1" x14ac:dyDescent="0.3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5.75" customHeight="1" x14ac:dyDescent="0.3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5.75" customHeight="1" x14ac:dyDescent="0.3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5.75" customHeight="1" x14ac:dyDescent="0.3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5.75" customHeight="1" x14ac:dyDescent="0.3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5.75" customHeight="1" x14ac:dyDescent="0.3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5.75" customHeight="1" x14ac:dyDescent="0.3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5.75" customHeight="1" x14ac:dyDescent="0.3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5.75" customHeight="1" x14ac:dyDescent="0.3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5.75" customHeight="1" x14ac:dyDescent="0.3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5.75" customHeight="1" x14ac:dyDescent="0.3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5.75" customHeight="1" x14ac:dyDescent="0.3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5.75" customHeight="1" x14ac:dyDescent="0.3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5.75" customHeight="1" x14ac:dyDescent="0.3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5.75" customHeight="1" x14ac:dyDescent="0.3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5.75" customHeight="1" x14ac:dyDescent="0.3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5.75" customHeight="1" x14ac:dyDescent="0.3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5.75" customHeight="1" x14ac:dyDescent="0.3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5.75" customHeight="1" x14ac:dyDescent="0.3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5.75" customHeight="1" x14ac:dyDescent="0.3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5.75" customHeight="1" x14ac:dyDescent="0.3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5.75" customHeight="1" x14ac:dyDescent="0.3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5.75" customHeight="1" x14ac:dyDescent="0.3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5.75" customHeight="1" x14ac:dyDescent="0.3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5.75" customHeight="1" x14ac:dyDescent="0.3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5.75" customHeight="1" x14ac:dyDescent="0.3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5.75" customHeight="1" x14ac:dyDescent="0.3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5.75" customHeight="1" x14ac:dyDescent="0.3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5.75" customHeight="1" x14ac:dyDescent="0.3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5.75" customHeight="1" x14ac:dyDescent="0.3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5.75" customHeight="1" x14ac:dyDescent="0.3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5.75" customHeight="1" x14ac:dyDescent="0.3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5.75" customHeight="1" x14ac:dyDescent="0.3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5.75" customHeight="1" x14ac:dyDescent="0.3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5.75" customHeight="1" x14ac:dyDescent="0.3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5.75" customHeight="1" x14ac:dyDescent="0.3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5.75" customHeight="1" x14ac:dyDescent="0.3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5.75" customHeight="1" x14ac:dyDescent="0.3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5.75" customHeight="1" x14ac:dyDescent="0.3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5.75" customHeight="1" x14ac:dyDescent="0.3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5.75" customHeight="1" x14ac:dyDescent="0.3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5.75" customHeight="1" x14ac:dyDescent="0.3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5.75" customHeight="1" x14ac:dyDescent="0.3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5.75" customHeight="1" x14ac:dyDescent="0.3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5.75" customHeight="1" x14ac:dyDescent="0.3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5.75" customHeight="1" x14ac:dyDescent="0.3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5.75" customHeight="1" x14ac:dyDescent="0.3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5.75" customHeight="1" x14ac:dyDescent="0.3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5.75" customHeight="1" x14ac:dyDescent="0.3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5.75" customHeight="1" x14ac:dyDescent="0.3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5.75" customHeight="1" x14ac:dyDescent="0.3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5.75" customHeight="1" x14ac:dyDescent="0.3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5.75" customHeight="1" x14ac:dyDescent="0.3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5.75" customHeight="1" x14ac:dyDescent="0.3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5.75" customHeight="1" x14ac:dyDescent="0.3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5.75" customHeight="1" x14ac:dyDescent="0.3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5.75" customHeight="1" x14ac:dyDescent="0.3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5.75" customHeight="1" x14ac:dyDescent="0.3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5.75" customHeight="1" x14ac:dyDescent="0.3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5.75" customHeight="1" x14ac:dyDescent="0.3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5.75" customHeight="1" x14ac:dyDescent="0.3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5.75" customHeight="1" x14ac:dyDescent="0.3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5.75" customHeight="1" x14ac:dyDescent="0.3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5.75" customHeight="1" x14ac:dyDescent="0.3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5.75" customHeight="1" x14ac:dyDescent="0.3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5.75" customHeight="1" x14ac:dyDescent="0.3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5.75" customHeight="1" x14ac:dyDescent="0.3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5.75" customHeight="1" x14ac:dyDescent="0.3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5.75" customHeight="1" x14ac:dyDescent="0.3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5.75" customHeight="1" x14ac:dyDescent="0.3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5.75" customHeight="1" x14ac:dyDescent="0.3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5.75" customHeight="1" x14ac:dyDescent="0.3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5.75" customHeight="1" x14ac:dyDescent="0.3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5.75" customHeight="1" x14ac:dyDescent="0.3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5.75" customHeight="1" x14ac:dyDescent="0.3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5.75" customHeight="1" x14ac:dyDescent="0.3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5.75" customHeight="1" x14ac:dyDescent="0.3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5.75" customHeight="1" x14ac:dyDescent="0.3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5.75" customHeight="1" x14ac:dyDescent="0.3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5.75" customHeight="1" x14ac:dyDescent="0.3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5.75" customHeight="1" x14ac:dyDescent="0.3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5.75" customHeight="1" x14ac:dyDescent="0.3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5.75" customHeight="1" x14ac:dyDescent="0.3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5.75" customHeight="1" x14ac:dyDescent="0.3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5.75" customHeight="1" x14ac:dyDescent="0.3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5.75" customHeight="1" x14ac:dyDescent="0.3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5.75" customHeight="1" x14ac:dyDescent="0.3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5.75" customHeight="1" x14ac:dyDescent="0.3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5.75" customHeight="1" x14ac:dyDescent="0.3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5.75" customHeight="1" x14ac:dyDescent="0.3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5.75" customHeight="1" x14ac:dyDescent="0.3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5.75" customHeight="1" x14ac:dyDescent="0.3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5.75" customHeight="1" x14ac:dyDescent="0.3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5.75" customHeight="1" x14ac:dyDescent="0.3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5.75" customHeight="1" x14ac:dyDescent="0.3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5.75" customHeight="1" x14ac:dyDescent="0.3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5.75" customHeight="1" x14ac:dyDescent="0.3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5.75" customHeight="1" x14ac:dyDescent="0.3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5.75" customHeight="1" x14ac:dyDescent="0.3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5.75" customHeight="1" x14ac:dyDescent="0.3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5.75" customHeight="1" x14ac:dyDescent="0.3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5.75" customHeight="1" x14ac:dyDescent="0.3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5.75" customHeight="1" x14ac:dyDescent="0.3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5.75" customHeight="1" x14ac:dyDescent="0.3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5.75" customHeight="1" x14ac:dyDescent="0.3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5.75" customHeight="1" x14ac:dyDescent="0.3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5.75" customHeight="1" x14ac:dyDescent="0.3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5.75" customHeight="1" x14ac:dyDescent="0.3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5.75" customHeight="1" x14ac:dyDescent="0.3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5.75" customHeight="1" x14ac:dyDescent="0.3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5.75" customHeight="1" x14ac:dyDescent="0.3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5.75" customHeight="1" x14ac:dyDescent="0.3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5.75" customHeight="1" x14ac:dyDescent="0.3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5.75" customHeight="1" x14ac:dyDescent="0.3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5.75" customHeight="1" x14ac:dyDescent="0.3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5.75" customHeight="1" x14ac:dyDescent="0.3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5.75" customHeight="1" x14ac:dyDescent="0.3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5.75" customHeight="1" x14ac:dyDescent="0.3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5.75" customHeight="1" x14ac:dyDescent="0.3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5.75" customHeight="1" x14ac:dyDescent="0.3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5.75" customHeight="1" x14ac:dyDescent="0.3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5.75" customHeight="1" x14ac:dyDescent="0.3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5.75" customHeight="1" x14ac:dyDescent="0.3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5.75" customHeight="1" x14ac:dyDescent="0.3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5.75" customHeight="1" x14ac:dyDescent="0.3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5.75" customHeight="1" x14ac:dyDescent="0.3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5.75" customHeight="1" x14ac:dyDescent="0.3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5.75" customHeight="1" x14ac:dyDescent="0.3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5.75" customHeight="1" x14ac:dyDescent="0.3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5.75" customHeight="1" x14ac:dyDescent="0.3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5.75" customHeight="1" x14ac:dyDescent="0.3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5.75" customHeight="1" x14ac:dyDescent="0.3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5.75" customHeight="1" x14ac:dyDescent="0.3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5.75" customHeight="1" x14ac:dyDescent="0.3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5.75" customHeight="1" x14ac:dyDescent="0.3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5.75" customHeight="1" x14ac:dyDescent="0.3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5.75" customHeight="1" x14ac:dyDescent="0.3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5.75" customHeight="1" x14ac:dyDescent="0.3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5.75" customHeight="1" x14ac:dyDescent="0.3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5.75" customHeight="1" x14ac:dyDescent="0.3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5.75" customHeight="1" x14ac:dyDescent="0.3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5.75" customHeight="1" x14ac:dyDescent="0.3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5.75" customHeight="1" x14ac:dyDescent="0.3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5.75" customHeight="1" x14ac:dyDescent="0.3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5.75" customHeight="1" x14ac:dyDescent="0.3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5.75" customHeight="1" x14ac:dyDescent="0.3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5.75" customHeight="1" x14ac:dyDescent="0.3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5.75" customHeight="1" x14ac:dyDescent="0.3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5.75" customHeight="1" x14ac:dyDescent="0.3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5.75" customHeight="1" x14ac:dyDescent="0.3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5.75" customHeight="1" x14ac:dyDescent="0.3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5.75" customHeight="1" x14ac:dyDescent="0.3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5.75" customHeight="1" x14ac:dyDescent="0.3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5.75" customHeight="1" x14ac:dyDescent="0.3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5.75" customHeight="1" x14ac:dyDescent="0.3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5.75" customHeight="1" x14ac:dyDescent="0.3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5.75" customHeight="1" x14ac:dyDescent="0.3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5.75" customHeight="1" x14ac:dyDescent="0.3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5.75" customHeight="1" x14ac:dyDescent="0.3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5.75" customHeight="1" x14ac:dyDescent="0.3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5.75" customHeight="1" x14ac:dyDescent="0.3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5.75" customHeight="1" x14ac:dyDescent="0.3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5.75" customHeight="1" x14ac:dyDescent="0.3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5.75" customHeight="1" x14ac:dyDescent="0.3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5.75" customHeight="1" x14ac:dyDescent="0.3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5.75" customHeight="1" x14ac:dyDescent="0.3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5.75" customHeight="1" x14ac:dyDescent="0.3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5.75" customHeight="1" x14ac:dyDescent="0.3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5.75" customHeight="1" x14ac:dyDescent="0.3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5.75" customHeight="1" x14ac:dyDescent="0.3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5.75" customHeight="1" x14ac:dyDescent="0.3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5.75" customHeight="1" x14ac:dyDescent="0.3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5.75" customHeight="1" x14ac:dyDescent="0.3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5.75" customHeight="1" x14ac:dyDescent="0.3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5.75" customHeight="1" x14ac:dyDescent="0.3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5.75" customHeight="1" x14ac:dyDescent="0.3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5.75" customHeight="1" x14ac:dyDescent="0.3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5.75" customHeight="1" x14ac:dyDescent="0.3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5.75" customHeight="1" x14ac:dyDescent="0.3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5.75" customHeight="1" x14ac:dyDescent="0.3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5.75" customHeight="1" x14ac:dyDescent="0.3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5.75" customHeight="1" x14ac:dyDescent="0.3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5.75" customHeight="1" x14ac:dyDescent="0.3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5.75" customHeight="1" x14ac:dyDescent="0.3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5.75" customHeight="1" x14ac:dyDescent="0.3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5.75" customHeight="1" x14ac:dyDescent="0.3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5.75" customHeight="1" x14ac:dyDescent="0.3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5.75" customHeight="1" x14ac:dyDescent="0.3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5.75" customHeight="1" x14ac:dyDescent="0.3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5.75" customHeight="1" x14ac:dyDescent="0.3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5.75" customHeight="1" x14ac:dyDescent="0.3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5.75" customHeight="1" x14ac:dyDescent="0.3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5.75" customHeight="1" x14ac:dyDescent="0.3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5.75" customHeight="1" x14ac:dyDescent="0.3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5.75" customHeight="1" x14ac:dyDescent="0.3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5.75" customHeight="1" x14ac:dyDescent="0.3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5.75" customHeight="1" x14ac:dyDescent="0.3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5.75" customHeight="1" x14ac:dyDescent="0.3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5.75" customHeight="1" x14ac:dyDescent="0.3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5.75" customHeight="1" x14ac:dyDescent="0.3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5.75" customHeight="1" x14ac:dyDescent="0.3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5.75" customHeight="1" x14ac:dyDescent="0.3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5.75" customHeight="1" x14ac:dyDescent="0.3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5.75" customHeight="1" x14ac:dyDescent="0.3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5.75" customHeight="1" x14ac:dyDescent="0.3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5.75" customHeight="1" x14ac:dyDescent="0.3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5.75" customHeight="1" x14ac:dyDescent="0.3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5.75" customHeight="1" x14ac:dyDescent="0.3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5.75" customHeight="1" x14ac:dyDescent="0.3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5.75" customHeight="1" x14ac:dyDescent="0.3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5.75" customHeight="1" x14ac:dyDescent="0.3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5.75" customHeight="1" x14ac:dyDescent="0.3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5.75" customHeight="1" x14ac:dyDescent="0.3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5.75" customHeight="1" x14ac:dyDescent="0.3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5.75" customHeight="1" x14ac:dyDescent="0.3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5.75" customHeight="1" x14ac:dyDescent="0.3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5.75" customHeight="1" x14ac:dyDescent="0.3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5.75" customHeight="1" x14ac:dyDescent="0.3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5.75" customHeight="1" x14ac:dyDescent="0.3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5.75" customHeight="1" x14ac:dyDescent="0.3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5.75" customHeight="1" x14ac:dyDescent="0.3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5.75" customHeight="1" x14ac:dyDescent="0.3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5.75" customHeight="1" x14ac:dyDescent="0.3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5.75" customHeight="1" x14ac:dyDescent="0.3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5.75" customHeight="1" x14ac:dyDescent="0.3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5.75" customHeight="1" x14ac:dyDescent="0.3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5.75" customHeight="1" x14ac:dyDescent="0.3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5.75" customHeight="1" x14ac:dyDescent="0.3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5.75" customHeight="1" x14ac:dyDescent="0.3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5.75" customHeight="1" x14ac:dyDescent="0.3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5.75" customHeight="1" x14ac:dyDescent="0.3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5.75" customHeight="1" x14ac:dyDescent="0.3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5.75" customHeight="1" x14ac:dyDescent="0.3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5.75" customHeight="1" x14ac:dyDescent="0.3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5.75" customHeight="1" x14ac:dyDescent="0.3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5.75" customHeight="1" x14ac:dyDescent="0.3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5.75" customHeight="1" x14ac:dyDescent="0.3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5.75" customHeight="1" x14ac:dyDescent="0.3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5.75" customHeight="1" x14ac:dyDescent="0.3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5.75" customHeight="1" x14ac:dyDescent="0.3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5.75" customHeight="1" x14ac:dyDescent="0.3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5.75" customHeight="1" x14ac:dyDescent="0.3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5.75" customHeight="1" x14ac:dyDescent="0.3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5.75" customHeight="1" x14ac:dyDescent="0.3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5.75" customHeight="1" x14ac:dyDescent="0.3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5.75" customHeight="1" x14ac:dyDescent="0.3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5.75" customHeight="1" x14ac:dyDescent="0.3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5.75" customHeight="1" x14ac:dyDescent="0.3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5.75" customHeight="1" x14ac:dyDescent="0.3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5.75" customHeight="1" x14ac:dyDescent="0.3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5.75" customHeight="1" x14ac:dyDescent="0.3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5.75" customHeight="1" x14ac:dyDescent="0.3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5.75" customHeight="1" x14ac:dyDescent="0.3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5.75" customHeight="1" x14ac:dyDescent="0.3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5.75" customHeight="1" x14ac:dyDescent="0.3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5.75" customHeight="1" x14ac:dyDescent="0.3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5.75" customHeight="1" x14ac:dyDescent="0.3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5.75" customHeight="1" x14ac:dyDescent="0.3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5.75" customHeight="1" x14ac:dyDescent="0.3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5.75" customHeight="1" x14ac:dyDescent="0.3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5.75" customHeight="1" x14ac:dyDescent="0.3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5.75" customHeight="1" x14ac:dyDescent="0.3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5.75" customHeight="1" x14ac:dyDescent="0.3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5.75" customHeight="1" x14ac:dyDescent="0.3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5.75" customHeight="1" x14ac:dyDescent="0.3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5.75" customHeight="1" x14ac:dyDescent="0.3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5.75" customHeight="1" x14ac:dyDescent="0.3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5.75" customHeight="1" x14ac:dyDescent="0.3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5.75" customHeight="1" x14ac:dyDescent="0.3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5.75" customHeight="1" x14ac:dyDescent="0.3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5.75" customHeight="1" x14ac:dyDescent="0.3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5.75" customHeight="1" x14ac:dyDescent="0.3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5.75" customHeight="1" x14ac:dyDescent="0.3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5.75" customHeight="1" x14ac:dyDescent="0.3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5.75" customHeight="1" x14ac:dyDescent="0.3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5.75" customHeight="1" x14ac:dyDescent="0.3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5.75" customHeight="1" x14ac:dyDescent="0.3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5.75" customHeight="1" x14ac:dyDescent="0.3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5.75" customHeight="1" x14ac:dyDescent="0.3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5.75" customHeight="1" x14ac:dyDescent="0.3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5.75" customHeight="1" x14ac:dyDescent="0.3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5.75" customHeight="1" x14ac:dyDescent="0.3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5.75" customHeight="1" x14ac:dyDescent="0.3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5.75" customHeight="1" x14ac:dyDescent="0.3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5.75" customHeight="1" x14ac:dyDescent="0.3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5.75" customHeight="1" x14ac:dyDescent="0.3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5.75" customHeight="1" x14ac:dyDescent="0.3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5.75" customHeight="1" x14ac:dyDescent="0.3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5.75" customHeight="1" x14ac:dyDescent="0.3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5.75" customHeight="1" x14ac:dyDescent="0.3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5.75" customHeight="1" x14ac:dyDescent="0.3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5.75" customHeight="1" x14ac:dyDescent="0.3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5.75" customHeight="1" x14ac:dyDescent="0.3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5.75" customHeight="1" x14ac:dyDescent="0.3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5.75" customHeight="1" x14ac:dyDescent="0.3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5.75" customHeight="1" x14ac:dyDescent="0.3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5.75" customHeight="1" x14ac:dyDescent="0.3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5.75" customHeight="1" x14ac:dyDescent="0.3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5.75" customHeight="1" x14ac:dyDescent="0.3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5.75" customHeight="1" x14ac:dyDescent="0.3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5.75" customHeight="1" x14ac:dyDescent="0.3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5.75" customHeight="1" x14ac:dyDescent="0.3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5.75" customHeight="1" x14ac:dyDescent="0.3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5.75" customHeight="1" x14ac:dyDescent="0.3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5.75" customHeight="1" x14ac:dyDescent="0.3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5.75" customHeight="1" x14ac:dyDescent="0.3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5.75" customHeight="1" x14ac:dyDescent="0.3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5.75" customHeight="1" x14ac:dyDescent="0.3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5.75" customHeight="1" x14ac:dyDescent="0.3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5.75" customHeight="1" x14ac:dyDescent="0.3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5.75" customHeight="1" x14ac:dyDescent="0.3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5.75" customHeight="1" x14ac:dyDescent="0.3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5.75" customHeight="1" x14ac:dyDescent="0.3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5.75" customHeight="1" x14ac:dyDescent="0.3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5.75" customHeight="1" x14ac:dyDescent="0.3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5.75" customHeight="1" x14ac:dyDescent="0.3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5.75" customHeight="1" x14ac:dyDescent="0.3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5.75" customHeight="1" x14ac:dyDescent="0.3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5.75" customHeight="1" x14ac:dyDescent="0.3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5.75" customHeight="1" x14ac:dyDescent="0.3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5.75" customHeight="1" x14ac:dyDescent="0.3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5.75" customHeight="1" x14ac:dyDescent="0.3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5.75" customHeight="1" x14ac:dyDescent="0.3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5.75" customHeight="1" x14ac:dyDescent="0.3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5.75" customHeight="1" x14ac:dyDescent="0.3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5.75" customHeight="1" x14ac:dyDescent="0.3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5.75" customHeight="1" x14ac:dyDescent="0.3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5.75" customHeight="1" x14ac:dyDescent="0.3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5.75" customHeight="1" x14ac:dyDescent="0.3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5.75" customHeight="1" x14ac:dyDescent="0.3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5.75" customHeight="1" x14ac:dyDescent="0.3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5.75" customHeight="1" x14ac:dyDescent="0.3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5.75" customHeight="1" x14ac:dyDescent="0.3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5.75" customHeight="1" x14ac:dyDescent="0.3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5.75" customHeight="1" x14ac:dyDescent="0.3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5.75" customHeight="1" x14ac:dyDescent="0.3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5.75" customHeight="1" x14ac:dyDescent="0.3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5.75" customHeight="1" x14ac:dyDescent="0.3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5.75" customHeight="1" x14ac:dyDescent="0.3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5.75" customHeight="1" x14ac:dyDescent="0.3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5.75" customHeight="1" x14ac:dyDescent="0.3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5.75" customHeight="1" x14ac:dyDescent="0.3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5.75" customHeight="1" x14ac:dyDescent="0.3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5.75" customHeight="1" x14ac:dyDescent="0.3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5.75" customHeight="1" x14ac:dyDescent="0.3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5.75" customHeight="1" x14ac:dyDescent="0.3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5.75" customHeight="1" x14ac:dyDescent="0.3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5.75" customHeight="1" x14ac:dyDescent="0.3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5.75" customHeight="1" x14ac:dyDescent="0.3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5.75" customHeight="1" x14ac:dyDescent="0.3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5.75" customHeight="1" x14ac:dyDescent="0.3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5.75" customHeight="1" x14ac:dyDescent="0.3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5.75" customHeight="1" x14ac:dyDescent="0.3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5.75" customHeight="1" x14ac:dyDescent="0.3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5.75" customHeight="1" x14ac:dyDescent="0.3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5.75" customHeight="1" x14ac:dyDescent="0.3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5.75" customHeight="1" x14ac:dyDescent="0.3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5.75" customHeight="1" x14ac:dyDescent="0.3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5.75" customHeight="1" x14ac:dyDescent="0.3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5.75" customHeight="1" x14ac:dyDescent="0.3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5.75" customHeight="1" x14ac:dyDescent="0.3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5.75" customHeight="1" x14ac:dyDescent="0.3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5.75" customHeight="1" x14ac:dyDescent="0.3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5.75" customHeight="1" x14ac:dyDescent="0.3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5.75" customHeight="1" x14ac:dyDescent="0.3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5.75" customHeight="1" x14ac:dyDescent="0.3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5.75" customHeight="1" x14ac:dyDescent="0.3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5.75" customHeight="1" x14ac:dyDescent="0.3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5.75" customHeight="1" x14ac:dyDescent="0.3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5.75" customHeight="1" x14ac:dyDescent="0.3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5.75" customHeight="1" x14ac:dyDescent="0.3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5.75" customHeight="1" x14ac:dyDescent="0.3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5.75" customHeight="1" x14ac:dyDescent="0.3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5.75" customHeight="1" x14ac:dyDescent="0.3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5.75" customHeight="1" x14ac:dyDescent="0.3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5.75" customHeight="1" x14ac:dyDescent="0.3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5.75" customHeight="1" x14ac:dyDescent="0.3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5.75" customHeight="1" x14ac:dyDescent="0.3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5.75" customHeight="1" x14ac:dyDescent="0.3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5.75" customHeight="1" x14ac:dyDescent="0.3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5.75" customHeight="1" x14ac:dyDescent="0.3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5.75" customHeight="1" x14ac:dyDescent="0.3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5.75" customHeight="1" x14ac:dyDescent="0.3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5.75" customHeight="1" x14ac:dyDescent="0.3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5.75" customHeight="1" x14ac:dyDescent="0.3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5.75" customHeight="1" x14ac:dyDescent="0.3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5.75" customHeight="1" x14ac:dyDescent="0.3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5.75" customHeight="1" x14ac:dyDescent="0.3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5.75" customHeight="1" x14ac:dyDescent="0.3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5.75" customHeight="1" x14ac:dyDescent="0.3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5.75" customHeight="1" x14ac:dyDescent="0.3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5.75" customHeight="1" x14ac:dyDescent="0.3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5.75" customHeight="1" x14ac:dyDescent="0.3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5.75" customHeight="1" x14ac:dyDescent="0.3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5.75" customHeight="1" x14ac:dyDescent="0.3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5.75" customHeight="1" x14ac:dyDescent="0.3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5.75" customHeight="1" x14ac:dyDescent="0.3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5.75" customHeight="1" x14ac:dyDescent="0.3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5.75" customHeight="1" x14ac:dyDescent="0.3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5.75" customHeight="1" x14ac:dyDescent="0.3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5.75" customHeight="1" x14ac:dyDescent="0.3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5.75" customHeight="1" x14ac:dyDescent="0.3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5.75" customHeight="1" x14ac:dyDescent="0.3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5.75" customHeight="1" x14ac:dyDescent="0.3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5.75" customHeight="1" x14ac:dyDescent="0.3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5.75" customHeight="1" x14ac:dyDescent="0.3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5.75" customHeight="1" x14ac:dyDescent="0.3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5.75" customHeight="1" x14ac:dyDescent="0.3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5.75" customHeight="1" x14ac:dyDescent="0.3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5.75" customHeight="1" x14ac:dyDescent="0.3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5.75" customHeight="1" x14ac:dyDescent="0.3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5.75" customHeight="1" x14ac:dyDescent="0.3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5.75" customHeight="1" x14ac:dyDescent="0.3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5.75" customHeight="1" x14ac:dyDescent="0.3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5.75" customHeight="1" x14ac:dyDescent="0.3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5.75" customHeight="1" x14ac:dyDescent="0.3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5.75" customHeight="1" x14ac:dyDescent="0.3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5.75" customHeight="1" x14ac:dyDescent="0.3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5.75" customHeight="1" x14ac:dyDescent="0.3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5.75" customHeight="1" x14ac:dyDescent="0.3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5.75" customHeight="1" x14ac:dyDescent="0.3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5.75" customHeight="1" x14ac:dyDescent="0.3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5.75" customHeight="1" x14ac:dyDescent="0.3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5.75" customHeight="1" x14ac:dyDescent="0.3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5.75" customHeight="1" x14ac:dyDescent="0.3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5.75" customHeight="1" x14ac:dyDescent="0.3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5.75" customHeight="1" x14ac:dyDescent="0.3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5.75" customHeight="1" x14ac:dyDescent="0.3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5.75" customHeight="1" x14ac:dyDescent="0.3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5.75" customHeight="1" x14ac:dyDescent="0.3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5.75" customHeight="1" x14ac:dyDescent="0.3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5.75" customHeight="1" x14ac:dyDescent="0.3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5.75" customHeight="1" x14ac:dyDescent="0.3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5.75" customHeight="1" x14ac:dyDescent="0.3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5.75" customHeight="1" x14ac:dyDescent="0.3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5.75" customHeight="1" x14ac:dyDescent="0.3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5.75" customHeight="1" x14ac:dyDescent="0.3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5.75" customHeight="1" x14ac:dyDescent="0.3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5.75" customHeight="1" x14ac:dyDescent="0.3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5.75" customHeight="1" x14ac:dyDescent="0.3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5.75" customHeight="1" x14ac:dyDescent="0.3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row r="1001" spans="1:26" ht="15.75" customHeight="1" x14ac:dyDescent="0.35">
      <c r="A1001" s="308"/>
      <c r="B1001" s="308"/>
      <c r="C1001" s="308"/>
      <c r="D1001" s="308"/>
      <c r="E1001" s="308"/>
      <c r="F1001" s="308"/>
      <c r="G1001" s="308"/>
      <c r="H1001" s="308"/>
      <c r="I1001" s="308"/>
      <c r="J1001" s="308"/>
      <c r="K1001" s="308"/>
      <c r="L1001" s="308"/>
      <c r="M1001" s="308"/>
      <c r="N1001" s="308"/>
      <c r="O1001" s="308"/>
      <c r="P1001" s="308"/>
      <c r="Q1001" s="308"/>
      <c r="R1001" s="308"/>
      <c r="S1001" s="308"/>
      <c r="T1001" s="308"/>
      <c r="U1001" s="308"/>
      <c r="V1001" s="308"/>
      <c r="W1001" s="308"/>
      <c r="X1001" s="308"/>
      <c r="Y1001" s="308"/>
      <c r="Z1001" s="308"/>
    </row>
    <row r="1002" spans="1:26" ht="15.75" customHeight="1" x14ac:dyDescent="0.35">
      <c r="A1002" s="308"/>
      <c r="B1002" s="308"/>
      <c r="C1002" s="308"/>
      <c r="D1002" s="308"/>
      <c r="E1002" s="308"/>
      <c r="F1002" s="308"/>
      <c r="G1002" s="308"/>
      <c r="H1002" s="308"/>
      <c r="I1002" s="308"/>
      <c r="J1002" s="308"/>
      <c r="K1002" s="308"/>
      <c r="L1002" s="308"/>
      <c r="M1002" s="308"/>
      <c r="N1002" s="308"/>
      <c r="O1002" s="308"/>
      <c r="P1002" s="308"/>
      <c r="Q1002" s="308"/>
      <c r="R1002" s="308"/>
      <c r="S1002" s="308"/>
      <c r="T1002" s="308"/>
      <c r="U1002" s="308"/>
      <c r="V1002" s="308"/>
      <c r="W1002" s="308"/>
      <c r="X1002" s="308"/>
      <c r="Y1002" s="308"/>
      <c r="Z1002" s="308"/>
    </row>
    <row r="1003" spans="1:26" ht="15.75" customHeight="1" x14ac:dyDescent="0.35">
      <c r="A1003" s="308"/>
      <c r="B1003" s="308"/>
      <c r="C1003" s="308"/>
      <c r="D1003" s="308"/>
      <c r="E1003" s="308"/>
      <c r="F1003" s="308"/>
      <c r="G1003" s="308"/>
      <c r="H1003" s="308"/>
      <c r="I1003" s="308"/>
      <c r="J1003" s="308"/>
      <c r="K1003" s="308"/>
      <c r="L1003" s="308"/>
      <c r="M1003" s="308"/>
      <c r="N1003" s="308"/>
      <c r="O1003" s="308"/>
      <c r="P1003" s="308"/>
      <c r="Q1003" s="308"/>
      <c r="R1003" s="308"/>
      <c r="S1003" s="308"/>
      <c r="T1003" s="308"/>
      <c r="U1003" s="308"/>
      <c r="V1003" s="308"/>
      <c r="W1003" s="308"/>
      <c r="X1003" s="308"/>
      <c r="Y1003" s="308"/>
      <c r="Z1003" s="308"/>
    </row>
    <row r="1004" spans="1:26" ht="15.75" customHeight="1" x14ac:dyDescent="0.35">
      <c r="A1004" s="308"/>
      <c r="B1004" s="308"/>
      <c r="C1004" s="308"/>
      <c r="D1004" s="308"/>
      <c r="E1004" s="308"/>
      <c r="F1004" s="308"/>
      <c r="G1004" s="308"/>
      <c r="H1004" s="308"/>
      <c r="I1004" s="308"/>
      <c r="J1004" s="308"/>
      <c r="K1004" s="308"/>
      <c r="L1004" s="308"/>
      <c r="M1004" s="308"/>
      <c r="N1004" s="308"/>
      <c r="O1004" s="308"/>
      <c r="P1004" s="308"/>
      <c r="Q1004" s="308"/>
      <c r="R1004" s="308"/>
      <c r="S1004" s="308"/>
      <c r="T1004" s="308"/>
      <c r="U1004" s="308"/>
      <c r="V1004" s="308"/>
      <c r="W1004" s="308"/>
      <c r="X1004" s="308"/>
      <c r="Y1004" s="308"/>
      <c r="Z1004" s="308"/>
    </row>
    <row r="1005" spans="1:26" ht="15.75" customHeight="1" x14ac:dyDescent="0.35">
      <c r="A1005" s="308"/>
      <c r="B1005" s="308"/>
      <c r="C1005" s="308"/>
      <c r="D1005" s="308"/>
      <c r="E1005" s="308"/>
      <c r="F1005" s="308"/>
      <c r="G1005" s="308"/>
      <c r="H1005" s="308"/>
      <c r="I1005" s="308"/>
      <c r="J1005" s="308"/>
      <c r="K1005" s="308"/>
      <c r="L1005" s="308"/>
      <c r="M1005" s="308"/>
      <c r="N1005" s="308"/>
      <c r="O1005" s="308"/>
      <c r="P1005" s="308"/>
      <c r="Q1005" s="308"/>
      <c r="R1005" s="308"/>
      <c r="S1005" s="308"/>
      <c r="T1005" s="308"/>
      <c r="U1005" s="308"/>
      <c r="V1005" s="308"/>
      <c r="W1005" s="308"/>
      <c r="X1005" s="308"/>
      <c r="Y1005" s="308"/>
      <c r="Z1005" s="308"/>
    </row>
    <row r="1006" spans="1:26" ht="15.75" customHeight="1" x14ac:dyDescent="0.35">
      <c r="A1006" s="308"/>
      <c r="B1006" s="308"/>
      <c r="C1006" s="308"/>
      <c r="D1006" s="308"/>
      <c r="E1006" s="308"/>
      <c r="F1006" s="308"/>
      <c r="G1006" s="308"/>
      <c r="H1006" s="308"/>
      <c r="I1006" s="308"/>
      <c r="J1006" s="308"/>
      <c r="K1006" s="308"/>
      <c r="L1006" s="308"/>
      <c r="M1006" s="308"/>
      <c r="N1006" s="308"/>
      <c r="O1006" s="308"/>
      <c r="P1006" s="308"/>
      <c r="Q1006" s="308"/>
      <c r="R1006" s="308"/>
      <c r="S1006" s="308"/>
      <c r="T1006" s="308"/>
      <c r="U1006" s="308"/>
      <c r="V1006" s="308"/>
      <c r="W1006" s="308"/>
      <c r="X1006" s="308"/>
      <c r="Y1006" s="308"/>
      <c r="Z1006" s="308"/>
    </row>
    <row r="1007" spans="1:26" ht="15.75" customHeight="1" x14ac:dyDescent="0.35">
      <c r="A1007" s="308"/>
      <c r="B1007" s="308"/>
      <c r="C1007" s="308"/>
      <c r="D1007" s="308"/>
      <c r="E1007" s="308"/>
      <c r="F1007" s="308"/>
      <c r="G1007" s="308"/>
      <c r="H1007" s="308"/>
      <c r="I1007" s="308"/>
      <c r="J1007" s="308"/>
      <c r="K1007" s="308"/>
      <c r="L1007" s="308"/>
      <c r="M1007" s="308"/>
      <c r="N1007" s="308"/>
      <c r="O1007" s="308"/>
      <c r="P1007" s="308"/>
      <c r="Q1007" s="308"/>
      <c r="R1007" s="308"/>
      <c r="S1007" s="308"/>
      <c r="T1007" s="308"/>
      <c r="U1007" s="308"/>
      <c r="V1007" s="308"/>
      <c r="W1007" s="308"/>
      <c r="X1007" s="308"/>
      <c r="Y1007" s="308"/>
      <c r="Z1007" s="308"/>
    </row>
    <row r="1008" spans="1:26" ht="15.75" customHeight="1" x14ac:dyDescent="0.35">
      <c r="A1008" s="308"/>
      <c r="B1008" s="308"/>
      <c r="C1008" s="308"/>
      <c r="D1008" s="308"/>
      <c r="E1008" s="308"/>
      <c r="F1008" s="308"/>
      <c r="G1008" s="308"/>
      <c r="H1008" s="308"/>
      <c r="I1008" s="308"/>
      <c r="J1008" s="308"/>
      <c r="K1008" s="308"/>
      <c r="L1008" s="308"/>
      <c r="M1008" s="308"/>
      <c r="N1008" s="308"/>
      <c r="O1008" s="308"/>
      <c r="P1008" s="308"/>
      <c r="Q1008" s="308"/>
      <c r="R1008" s="308"/>
      <c r="S1008" s="308"/>
      <c r="T1008" s="308"/>
      <c r="U1008" s="308"/>
      <c r="V1008" s="308"/>
      <c r="W1008" s="308"/>
      <c r="X1008" s="308"/>
      <c r="Y1008" s="308"/>
      <c r="Z1008" s="308"/>
    </row>
    <row r="1009" spans="1:26" ht="15.75" customHeight="1" x14ac:dyDescent="0.35">
      <c r="A1009" s="308"/>
      <c r="B1009" s="308"/>
      <c r="C1009" s="308"/>
      <c r="D1009" s="308"/>
      <c r="E1009" s="308"/>
      <c r="F1009" s="308"/>
      <c r="G1009" s="308"/>
      <c r="H1009" s="308"/>
      <c r="I1009" s="308"/>
      <c r="J1009" s="308"/>
      <c r="K1009" s="308"/>
      <c r="L1009" s="308"/>
      <c r="M1009" s="308"/>
      <c r="N1009" s="308"/>
      <c r="O1009" s="308"/>
      <c r="P1009" s="308"/>
      <c r="Q1009" s="308"/>
      <c r="R1009" s="308"/>
      <c r="S1009" s="308"/>
      <c r="T1009" s="308"/>
      <c r="U1009" s="308"/>
      <c r="V1009" s="308"/>
      <c r="W1009" s="308"/>
      <c r="X1009" s="308"/>
      <c r="Y1009" s="308"/>
      <c r="Z1009" s="308"/>
    </row>
    <row r="1010" spans="1:26" ht="15.75" customHeight="1" x14ac:dyDescent="0.35">
      <c r="A1010" s="308"/>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row>
    <row r="1011" spans="1:26" ht="15.75" customHeight="1" x14ac:dyDescent="0.35">
      <c r="A1011" s="308"/>
      <c r="B1011" s="308"/>
      <c r="C1011" s="308"/>
      <c r="D1011" s="308"/>
      <c r="E1011" s="308"/>
      <c r="F1011" s="308"/>
      <c r="G1011" s="308"/>
      <c r="H1011" s="308"/>
      <c r="I1011" s="308"/>
      <c r="J1011" s="308"/>
      <c r="K1011" s="308"/>
      <c r="L1011" s="308"/>
      <c r="M1011" s="308"/>
      <c r="N1011" s="308"/>
      <c r="O1011" s="308"/>
      <c r="P1011" s="308"/>
      <c r="Q1011" s="308"/>
      <c r="R1011" s="308"/>
      <c r="S1011" s="308"/>
      <c r="T1011" s="308"/>
      <c r="U1011" s="308"/>
      <c r="V1011" s="308"/>
      <c r="W1011" s="308"/>
      <c r="X1011" s="308"/>
      <c r="Y1011" s="308"/>
      <c r="Z1011" s="308"/>
    </row>
    <row r="1012" spans="1:26" ht="15.75" customHeight="1" x14ac:dyDescent="0.35">
      <c r="A1012" s="308"/>
      <c r="B1012" s="308"/>
      <c r="C1012" s="308"/>
      <c r="D1012" s="308"/>
      <c r="E1012" s="308"/>
      <c r="F1012" s="308"/>
      <c r="G1012" s="308"/>
      <c r="H1012" s="308"/>
      <c r="I1012" s="308"/>
      <c r="J1012" s="308"/>
      <c r="K1012" s="308"/>
      <c r="L1012" s="308"/>
      <c r="M1012" s="308"/>
      <c r="N1012" s="308"/>
      <c r="O1012" s="308"/>
      <c r="P1012" s="308"/>
      <c r="Q1012" s="308"/>
      <c r="R1012" s="308"/>
      <c r="S1012" s="308"/>
      <c r="T1012" s="308"/>
      <c r="U1012" s="308"/>
      <c r="V1012" s="308"/>
      <c r="W1012" s="308"/>
      <c r="X1012" s="308"/>
      <c r="Y1012" s="308"/>
      <c r="Z1012" s="308"/>
    </row>
    <row r="1013" spans="1:26" ht="15.75" customHeight="1" x14ac:dyDescent="0.35">
      <c r="A1013" s="308"/>
      <c r="B1013" s="308"/>
      <c r="C1013" s="308"/>
      <c r="D1013" s="308"/>
      <c r="E1013" s="308"/>
      <c r="F1013" s="308"/>
      <c r="G1013" s="308"/>
      <c r="H1013" s="308"/>
      <c r="I1013" s="308"/>
      <c r="J1013" s="308"/>
      <c r="K1013" s="308"/>
      <c r="L1013" s="308"/>
      <c r="M1013" s="308"/>
      <c r="N1013" s="308"/>
      <c r="O1013" s="308"/>
      <c r="P1013" s="308"/>
      <c r="Q1013" s="308"/>
      <c r="R1013" s="308"/>
      <c r="S1013" s="308"/>
      <c r="T1013" s="308"/>
      <c r="U1013" s="308"/>
      <c r="V1013" s="308"/>
      <c r="W1013" s="308"/>
      <c r="X1013" s="308"/>
      <c r="Y1013" s="308"/>
      <c r="Z1013" s="308"/>
    </row>
    <row r="1014" spans="1:26" ht="15.75" customHeight="1" x14ac:dyDescent="0.35">
      <c r="A1014" s="308"/>
      <c r="B1014" s="308"/>
      <c r="C1014" s="308"/>
      <c r="D1014" s="308"/>
      <c r="E1014" s="308"/>
      <c r="F1014" s="308"/>
      <c r="G1014" s="308"/>
      <c r="H1014" s="308"/>
      <c r="I1014" s="308"/>
      <c r="J1014" s="308"/>
      <c r="K1014" s="308"/>
      <c r="L1014" s="308"/>
      <c r="M1014" s="308"/>
      <c r="N1014" s="308"/>
      <c r="O1014" s="308"/>
      <c r="P1014" s="308"/>
      <c r="Q1014" s="308"/>
      <c r="R1014" s="308"/>
      <c r="S1014" s="308"/>
      <c r="T1014" s="308"/>
      <c r="U1014" s="308"/>
      <c r="V1014" s="308"/>
      <c r="W1014" s="308"/>
      <c r="X1014" s="308"/>
      <c r="Y1014" s="308"/>
      <c r="Z1014" s="308"/>
    </row>
    <row r="1015" spans="1:26" ht="15.75" customHeight="1" x14ac:dyDescent="0.35">
      <c r="A1015" s="308"/>
      <c r="B1015" s="308"/>
      <c r="C1015" s="308"/>
      <c r="D1015" s="308"/>
      <c r="E1015" s="308"/>
      <c r="F1015" s="308"/>
      <c r="G1015" s="308"/>
      <c r="H1015" s="308"/>
      <c r="I1015" s="308"/>
      <c r="J1015" s="308"/>
      <c r="K1015" s="308"/>
      <c r="L1015" s="308"/>
      <c r="M1015" s="308"/>
      <c r="N1015" s="308"/>
      <c r="O1015" s="308"/>
      <c r="P1015" s="308"/>
      <c r="Q1015" s="308"/>
      <c r="R1015" s="308"/>
      <c r="S1015" s="308"/>
      <c r="T1015" s="308"/>
      <c r="U1015" s="308"/>
      <c r="V1015" s="308"/>
      <c r="W1015" s="308"/>
      <c r="X1015" s="308"/>
      <c r="Y1015" s="308"/>
      <c r="Z1015" s="308"/>
    </row>
    <row r="1016" spans="1:26" ht="15.75" customHeight="1" x14ac:dyDescent="0.35">
      <c r="A1016" s="308"/>
      <c r="B1016" s="308"/>
      <c r="C1016" s="308"/>
      <c r="D1016" s="308"/>
      <c r="E1016" s="308"/>
      <c r="F1016" s="308"/>
      <c r="G1016" s="308"/>
      <c r="H1016" s="308"/>
      <c r="I1016" s="308"/>
      <c r="J1016" s="308"/>
      <c r="K1016" s="308"/>
      <c r="L1016" s="308"/>
      <c r="M1016" s="308"/>
      <c r="N1016" s="308"/>
      <c r="O1016" s="308"/>
      <c r="P1016" s="308"/>
      <c r="Q1016" s="308"/>
      <c r="R1016" s="308"/>
      <c r="S1016" s="308"/>
      <c r="T1016" s="308"/>
      <c r="U1016" s="308"/>
      <c r="V1016" s="308"/>
      <c r="W1016" s="308"/>
      <c r="X1016" s="308"/>
      <c r="Y1016" s="308"/>
      <c r="Z1016" s="308"/>
    </row>
  </sheetData>
  <mergeCells count="10">
    <mergeCell ref="E12:K16"/>
    <mergeCell ref="E21:K23"/>
    <mergeCell ref="D33:F33"/>
    <mergeCell ref="B4:D4"/>
    <mergeCell ref="B5:D5"/>
    <mergeCell ref="B6:D6"/>
    <mergeCell ref="B7:D7"/>
    <mergeCell ref="B8:D8"/>
    <mergeCell ref="E8:G8"/>
    <mergeCell ref="E10:K10"/>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defaultColWidth="14.3984375" defaultRowHeight="15" customHeight="1" x14ac:dyDescent="0.3"/>
  <cols>
    <col min="1" max="1" width="12.69921875" customWidth="1"/>
    <col min="2" max="2" width="80.09765625" customWidth="1"/>
    <col min="3" max="3" width="10.59765625" customWidth="1"/>
    <col min="4" max="4" width="29.296875" customWidth="1"/>
    <col min="5" max="5" width="22.296875" customWidth="1"/>
    <col min="6" max="6" width="17.09765625" customWidth="1"/>
    <col min="7" max="7" width="19.59765625" customWidth="1"/>
    <col min="8" max="8" width="21" customWidth="1"/>
    <col min="9" max="9" width="18.09765625" customWidth="1"/>
    <col min="10" max="10" width="19.8984375" customWidth="1"/>
    <col min="11" max="11" width="17.69921875" customWidth="1"/>
    <col min="12" max="12" width="17.3984375" customWidth="1"/>
    <col min="13" max="13" width="19.8984375" customWidth="1"/>
    <col min="14" max="14" width="20.69921875" customWidth="1"/>
    <col min="15" max="15" width="20.59765625" customWidth="1"/>
    <col min="16" max="16" width="20.09765625" customWidth="1"/>
    <col min="17" max="26" width="12.69921875" customWidth="1"/>
  </cols>
  <sheetData>
    <row r="1" spans="1:26" ht="12.75" customHeight="1" x14ac:dyDescent="0.35">
      <c r="A1" s="50"/>
      <c r="B1" s="50"/>
      <c r="C1" s="63"/>
      <c r="D1" s="50"/>
      <c r="E1" s="50"/>
      <c r="F1" s="50"/>
      <c r="G1" s="50"/>
      <c r="H1" s="50"/>
      <c r="I1" s="50"/>
      <c r="J1" s="50"/>
      <c r="K1" s="50"/>
      <c r="L1" s="50"/>
      <c r="M1" s="50"/>
      <c r="N1" s="50"/>
      <c r="O1" s="50"/>
      <c r="P1" s="50"/>
      <c r="Q1" s="50"/>
      <c r="R1" s="50"/>
      <c r="S1" s="50"/>
      <c r="T1" s="50"/>
      <c r="U1" s="50"/>
      <c r="V1" s="50"/>
      <c r="W1" s="50"/>
      <c r="X1" s="50"/>
      <c r="Y1" s="50"/>
      <c r="Z1" s="50"/>
    </row>
    <row r="2" spans="1:26" ht="12.75" customHeight="1" x14ac:dyDescent="0.35">
      <c r="A2" s="50"/>
      <c r="B2" s="31" t="s">
        <v>254</v>
      </c>
      <c r="C2" s="47"/>
      <c r="D2" s="33" t="s">
        <v>183</v>
      </c>
      <c r="E2" s="77"/>
      <c r="F2" s="79"/>
      <c r="G2" s="32"/>
      <c r="H2" s="32"/>
      <c r="I2" s="32"/>
      <c r="J2" s="32"/>
      <c r="K2" s="32"/>
      <c r="L2" s="50"/>
      <c r="M2" s="50"/>
      <c r="N2" s="50"/>
      <c r="O2" s="50"/>
      <c r="P2" s="50"/>
      <c r="Q2" s="50"/>
      <c r="R2" s="50"/>
      <c r="S2" s="50"/>
      <c r="T2" s="50"/>
      <c r="U2" s="50"/>
      <c r="V2" s="50"/>
      <c r="W2" s="50"/>
      <c r="X2" s="50"/>
      <c r="Y2" s="50"/>
      <c r="Z2" s="50"/>
    </row>
    <row r="3" spans="1:26" ht="12.75" customHeight="1" x14ac:dyDescent="0.35">
      <c r="A3" s="50"/>
      <c r="B3" s="31"/>
      <c r="C3" s="47"/>
      <c r="D3" s="79"/>
      <c r="E3" s="79"/>
      <c r="F3" s="79"/>
      <c r="G3" s="32"/>
      <c r="H3" s="32"/>
      <c r="I3" s="32"/>
      <c r="J3" s="32"/>
      <c r="K3" s="80"/>
      <c r="L3" s="50"/>
      <c r="M3" s="50"/>
      <c r="N3" s="50"/>
      <c r="O3" s="50"/>
      <c r="P3" s="50"/>
      <c r="Q3" s="50"/>
      <c r="R3" s="50"/>
      <c r="S3" s="50"/>
      <c r="T3" s="50"/>
      <c r="U3" s="50"/>
      <c r="V3" s="50"/>
      <c r="W3" s="50"/>
      <c r="X3" s="50"/>
      <c r="Y3" s="50"/>
      <c r="Z3" s="50"/>
    </row>
    <row r="4" spans="1:26" ht="12.75" customHeight="1" x14ac:dyDescent="0.35">
      <c r="A4" s="50"/>
      <c r="B4" s="554" t="s">
        <v>350</v>
      </c>
      <c r="C4" s="552"/>
      <c r="D4" s="555"/>
      <c r="E4" s="79"/>
      <c r="F4" s="79"/>
      <c r="G4" s="32"/>
      <c r="H4" s="32"/>
      <c r="I4" s="32"/>
      <c r="J4" s="32"/>
      <c r="K4" s="32"/>
      <c r="L4" s="50"/>
      <c r="M4" s="50"/>
      <c r="N4" s="50"/>
      <c r="O4" s="50"/>
      <c r="P4" s="50"/>
      <c r="Q4" s="50"/>
      <c r="R4" s="50"/>
      <c r="S4" s="50"/>
      <c r="T4" s="50"/>
      <c r="U4" s="50"/>
      <c r="V4" s="50"/>
      <c r="W4" s="50"/>
      <c r="X4" s="50"/>
      <c r="Y4" s="50"/>
      <c r="Z4" s="50"/>
    </row>
    <row r="5" spans="1:26" ht="12.75" customHeight="1"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31.5" customHeight="1" x14ac:dyDescent="0.35">
      <c r="A6" s="50"/>
      <c r="B6" s="570" t="s">
        <v>351</v>
      </c>
      <c r="C6" s="536"/>
      <c r="D6" s="571"/>
      <c r="E6" s="32"/>
      <c r="F6" s="32"/>
      <c r="G6" s="32"/>
      <c r="H6" s="32"/>
      <c r="I6" s="32"/>
      <c r="J6" s="32"/>
      <c r="K6" s="32"/>
      <c r="L6" s="50"/>
      <c r="M6" s="50"/>
      <c r="N6" s="50"/>
      <c r="O6" s="50"/>
      <c r="P6" s="50"/>
      <c r="Q6" s="50"/>
      <c r="R6" s="50"/>
      <c r="S6" s="50"/>
      <c r="T6" s="50"/>
      <c r="U6" s="50"/>
      <c r="V6" s="50"/>
      <c r="W6" s="50"/>
      <c r="X6" s="50"/>
      <c r="Y6" s="50"/>
      <c r="Z6" s="50"/>
    </row>
    <row r="7" spans="1:26" ht="12.75" customHeight="1" x14ac:dyDescent="0.35">
      <c r="A7" s="50"/>
      <c r="B7" s="569" t="s">
        <v>341</v>
      </c>
      <c r="C7" s="546"/>
      <c r="D7" s="558"/>
      <c r="E7" s="32"/>
      <c r="F7" s="32"/>
      <c r="G7" s="32"/>
      <c r="H7" s="32"/>
      <c r="I7" s="32"/>
      <c r="J7" s="32"/>
      <c r="K7" s="32"/>
      <c r="L7" s="50"/>
      <c r="M7" s="50"/>
      <c r="N7" s="50"/>
      <c r="O7" s="50"/>
      <c r="P7" s="50"/>
      <c r="Q7" s="50"/>
      <c r="R7" s="50"/>
      <c r="S7" s="50"/>
      <c r="T7" s="50"/>
      <c r="U7" s="50"/>
      <c r="V7" s="50"/>
      <c r="W7" s="50"/>
      <c r="X7" s="50"/>
      <c r="Y7" s="50"/>
      <c r="Z7" s="50"/>
    </row>
    <row r="8" spans="1:26" ht="57" customHeight="1" x14ac:dyDescent="0.35">
      <c r="A8" s="50"/>
      <c r="B8" s="572" t="s">
        <v>352</v>
      </c>
      <c r="C8" s="573"/>
      <c r="D8" s="574"/>
      <c r="E8" s="575"/>
      <c r="F8" s="546"/>
      <c r="G8" s="534"/>
      <c r="H8" s="32"/>
      <c r="I8" s="32"/>
      <c r="J8" s="32"/>
      <c r="K8" s="32"/>
      <c r="L8" s="50"/>
      <c r="M8" s="50"/>
      <c r="N8" s="50"/>
      <c r="O8" s="50"/>
      <c r="P8" s="50"/>
      <c r="Q8" s="50"/>
      <c r="R8" s="50"/>
      <c r="S8" s="50"/>
      <c r="T8" s="50"/>
      <c r="U8" s="50"/>
      <c r="V8" s="50"/>
      <c r="W8" s="50"/>
      <c r="X8" s="50"/>
      <c r="Y8" s="50"/>
      <c r="Z8" s="50"/>
    </row>
    <row r="9" spans="1:26" ht="15" customHeight="1" x14ac:dyDescent="0.35">
      <c r="A9" s="50"/>
      <c r="B9" s="50"/>
      <c r="C9" s="63"/>
      <c r="D9" s="50"/>
      <c r="E9" s="50"/>
      <c r="F9" s="314"/>
      <c r="G9" s="50"/>
      <c r="H9" s="50"/>
      <c r="I9" s="50"/>
      <c r="J9" s="50"/>
      <c r="K9" s="50"/>
      <c r="L9" s="50"/>
      <c r="M9" s="50"/>
      <c r="N9" s="50"/>
      <c r="O9" s="50"/>
      <c r="P9" s="50"/>
      <c r="Q9" s="50"/>
      <c r="R9" s="50"/>
      <c r="S9" s="50"/>
      <c r="T9" s="50"/>
      <c r="U9" s="50"/>
      <c r="V9" s="50"/>
      <c r="W9" s="50"/>
      <c r="X9" s="50"/>
      <c r="Y9" s="50"/>
      <c r="Z9" s="50"/>
    </row>
    <row r="10" spans="1:26" ht="15" customHeight="1" x14ac:dyDescent="0.35">
      <c r="A10" s="50"/>
      <c r="B10" s="305" t="s">
        <v>85</v>
      </c>
      <c r="C10" s="285"/>
      <c r="D10" s="285" t="s">
        <v>143</v>
      </c>
      <c r="E10" s="285"/>
      <c r="F10" s="285"/>
      <c r="G10" s="285" t="s">
        <v>87</v>
      </c>
      <c r="H10" s="285"/>
      <c r="I10" s="85"/>
      <c r="J10" s="85"/>
      <c r="K10" s="85"/>
      <c r="L10" s="85"/>
      <c r="M10" s="85"/>
      <c r="N10" s="85"/>
      <c r="O10" s="85"/>
      <c r="P10" s="86"/>
      <c r="Q10" s="50"/>
      <c r="R10" s="50"/>
      <c r="S10" s="50"/>
      <c r="T10" s="50"/>
      <c r="U10" s="50"/>
      <c r="V10" s="50"/>
      <c r="W10" s="50"/>
      <c r="X10" s="50"/>
      <c r="Y10" s="50"/>
      <c r="Z10" s="50"/>
    </row>
    <row r="11" spans="1:26" ht="48.75" customHeight="1" x14ac:dyDescent="0.35">
      <c r="A11" s="50"/>
      <c r="B11" s="315" t="s">
        <v>353</v>
      </c>
      <c r="C11" s="223" t="s">
        <v>109</v>
      </c>
      <c r="D11" s="230">
        <v>0.27</v>
      </c>
      <c r="E11" s="600" t="s">
        <v>354</v>
      </c>
      <c r="F11" s="546"/>
      <c r="G11" s="546"/>
      <c r="H11" s="546"/>
      <c r="I11" s="546"/>
      <c r="J11" s="546"/>
      <c r="K11" s="534"/>
      <c r="L11" s="91"/>
      <c r="M11" s="91"/>
      <c r="N11" s="91"/>
      <c r="O11" s="91"/>
      <c r="P11" s="92"/>
      <c r="Q11" s="50"/>
      <c r="R11" s="50"/>
      <c r="S11" s="50"/>
      <c r="T11" s="50"/>
      <c r="U11" s="50"/>
      <c r="V11" s="50"/>
      <c r="W11" s="50"/>
      <c r="X11" s="50"/>
      <c r="Y11" s="50"/>
      <c r="Z11" s="50"/>
    </row>
    <row r="12" spans="1:26" ht="15.75" customHeight="1" x14ac:dyDescent="0.35">
      <c r="A12" s="50"/>
      <c r="B12" s="96" t="s">
        <v>355</v>
      </c>
      <c r="C12" s="223" t="s">
        <v>356</v>
      </c>
      <c r="D12" s="316">
        <v>2</v>
      </c>
      <c r="E12" s="91" t="s">
        <v>357</v>
      </c>
      <c r="F12" s="91"/>
      <c r="G12" s="91"/>
      <c r="H12" s="91"/>
      <c r="I12" s="91"/>
      <c r="J12" s="91"/>
      <c r="K12" s="91"/>
      <c r="L12" s="91"/>
      <c r="M12" s="91"/>
      <c r="N12" s="91"/>
      <c r="O12" s="91"/>
      <c r="P12" s="92"/>
      <c r="Q12" s="50"/>
      <c r="R12" s="50"/>
      <c r="S12" s="50"/>
      <c r="T12" s="50"/>
      <c r="U12" s="50"/>
      <c r="V12" s="50"/>
      <c r="W12" s="50"/>
      <c r="X12" s="50"/>
      <c r="Y12" s="50"/>
      <c r="Z12" s="50"/>
    </row>
    <row r="13" spans="1:26" ht="15.75" customHeight="1" x14ac:dyDescent="0.35">
      <c r="A13" s="50"/>
      <c r="B13" s="96" t="s">
        <v>358</v>
      </c>
      <c r="C13" s="310" t="s">
        <v>109</v>
      </c>
      <c r="D13" s="230">
        <v>0.3</v>
      </c>
      <c r="E13" s="317" t="s">
        <v>359</v>
      </c>
      <c r="F13" s="91"/>
      <c r="G13" s="91"/>
      <c r="H13" s="91"/>
      <c r="I13" s="91"/>
      <c r="J13" s="91"/>
      <c r="K13" s="91"/>
      <c r="L13" s="91"/>
      <c r="M13" s="91"/>
      <c r="N13" s="91"/>
      <c r="O13" s="91"/>
      <c r="P13" s="92"/>
      <c r="Q13" s="50"/>
      <c r="R13" s="50"/>
      <c r="S13" s="50"/>
      <c r="T13" s="50"/>
      <c r="U13" s="50"/>
      <c r="V13" s="50"/>
      <c r="W13" s="50"/>
      <c r="X13" s="50"/>
      <c r="Y13" s="50"/>
      <c r="Z13" s="50"/>
    </row>
    <row r="14" spans="1:26" ht="15.75" customHeight="1" x14ac:dyDescent="0.35">
      <c r="A14" s="50"/>
      <c r="B14" s="96" t="s">
        <v>360</v>
      </c>
      <c r="C14" s="310" t="s">
        <v>202</v>
      </c>
      <c r="D14" s="298">
        <v>40000000</v>
      </c>
      <c r="E14" s="91" t="s">
        <v>361</v>
      </c>
      <c r="F14" s="318"/>
      <c r="G14" s="91"/>
      <c r="H14" s="91"/>
      <c r="I14" s="91"/>
      <c r="J14" s="91"/>
      <c r="K14" s="91"/>
      <c r="L14" s="91"/>
      <c r="M14" s="91"/>
      <c r="N14" s="91"/>
      <c r="O14" s="91"/>
      <c r="P14" s="92"/>
      <c r="Q14" s="50"/>
      <c r="R14" s="50"/>
      <c r="S14" s="50"/>
      <c r="T14" s="50"/>
      <c r="U14" s="50"/>
      <c r="V14" s="50"/>
      <c r="W14" s="50"/>
      <c r="X14" s="50"/>
      <c r="Y14" s="50"/>
      <c r="Z14" s="50"/>
    </row>
    <row r="15" spans="1:26" ht="15.75" customHeight="1" x14ac:dyDescent="0.35">
      <c r="A15" s="50"/>
      <c r="B15" s="96" t="s">
        <v>362</v>
      </c>
      <c r="C15" s="310" t="s">
        <v>202</v>
      </c>
      <c r="D15" s="298">
        <v>4000000</v>
      </c>
      <c r="E15" s="91" t="s">
        <v>363</v>
      </c>
      <c r="F15" s="318"/>
      <c r="G15" s="91"/>
      <c r="H15" s="91"/>
      <c r="I15" s="91"/>
      <c r="J15" s="91"/>
      <c r="K15" s="91"/>
      <c r="L15" s="91"/>
      <c r="M15" s="91"/>
      <c r="N15" s="91"/>
      <c r="O15" s="91"/>
      <c r="P15" s="92"/>
      <c r="Q15" s="50"/>
      <c r="R15" s="50"/>
      <c r="S15" s="50"/>
      <c r="T15" s="50"/>
      <c r="U15" s="50"/>
      <c r="V15" s="50"/>
      <c r="W15" s="50"/>
      <c r="X15" s="50"/>
      <c r="Y15" s="50"/>
      <c r="Z15" s="50"/>
    </row>
    <row r="16" spans="1:26" ht="15.75" customHeight="1" x14ac:dyDescent="0.35">
      <c r="A16" s="50"/>
      <c r="B16" s="96" t="s">
        <v>364</v>
      </c>
      <c r="C16" s="310" t="s">
        <v>202</v>
      </c>
      <c r="D16" s="298">
        <v>200000</v>
      </c>
      <c r="E16" s="91" t="s">
        <v>365</v>
      </c>
      <c r="F16" s="318"/>
      <c r="G16" s="91"/>
      <c r="H16" s="91"/>
      <c r="I16" s="91"/>
      <c r="J16" s="91"/>
      <c r="K16" s="91"/>
      <c r="L16" s="91"/>
      <c r="M16" s="91"/>
      <c r="N16" s="91"/>
      <c r="O16" s="91"/>
      <c r="P16" s="92"/>
      <c r="Q16" s="50"/>
      <c r="R16" s="50"/>
      <c r="S16" s="50"/>
      <c r="T16" s="50"/>
      <c r="U16" s="50"/>
      <c r="V16" s="50"/>
      <c r="W16" s="50"/>
      <c r="X16" s="50"/>
      <c r="Y16" s="50"/>
      <c r="Z16" s="50"/>
    </row>
    <row r="17" spans="1:26" ht="15.75" customHeight="1" x14ac:dyDescent="0.35">
      <c r="A17" s="50"/>
      <c r="B17" s="154" t="s">
        <v>366</v>
      </c>
      <c r="C17" s="310" t="s">
        <v>109</v>
      </c>
      <c r="D17" s="319">
        <f>D16/D15</f>
        <v>0.05</v>
      </c>
      <c r="E17" s="91" t="s">
        <v>117</v>
      </c>
      <c r="F17" s="91"/>
      <c r="G17" s="91"/>
      <c r="H17" s="91"/>
      <c r="I17" s="91"/>
      <c r="J17" s="91"/>
      <c r="K17" s="91"/>
      <c r="L17" s="91"/>
      <c r="M17" s="91"/>
      <c r="N17" s="91"/>
      <c r="O17" s="91"/>
      <c r="P17" s="92"/>
      <c r="Q17" s="50"/>
      <c r="R17" s="50"/>
      <c r="S17" s="50"/>
      <c r="T17" s="50"/>
      <c r="U17" s="50"/>
      <c r="V17" s="50"/>
      <c r="W17" s="50"/>
      <c r="X17" s="50"/>
      <c r="Y17" s="50"/>
      <c r="Z17" s="50"/>
    </row>
    <row r="18" spans="1:26" ht="15.75" customHeight="1" x14ac:dyDescent="0.35">
      <c r="A18" s="50"/>
      <c r="B18" s="320" t="s">
        <v>367</v>
      </c>
      <c r="C18" s="310"/>
      <c r="D18" s="321" t="s">
        <v>119</v>
      </c>
      <c r="E18" s="91" t="s">
        <v>368</v>
      </c>
      <c r="F18" s="91"/>
      <c r="G18" s="91"/>
      <c r="H18" s="91"/>
      <c r="I18" s="91"/>
      <c r="J18" s="91"/>
      <c r="K18" s="91"/>
      <c r="L18" s="91"/>
      <c r="M18" s="91"/>
      <c r="N18" s="91"/>
      <c r="O18" s="91"/>
      <c r="P18" s="92"/>
      <c r="Q18" s="50"/>
      <c r="R18" s="50"/>
      <c r="S18" s="50"/>
      <c r="T18" s="50"/>
      <c r="U18" s="50"/>
      <c r="V18" s="50"/>
      <c r="W18" s="50"/>
      <c r="X18" s="50"/>
      <c r="Y18" s="50"/>
      <c r="Z18" s="50"/>
    </row>
    <row r="19" spans="1:26" ht="15.75" customHeight="1" x14ac:dyDescent="0.35">
      <c r="A19" s="50"/>
      <c r="B19" s="320" t="s">
        <v>369</v>
      </c>
      <c r="C19" s="310" t="s">
        <v>109</v>
      </c>
      <c r="D19" s="230">
        <f>VLOOKUP(D18,B20:D22,3,FALSE)</f>
        <v>0.5</v>
      </c>
      <c r="E19" s="91" t="s">
        <v>117</v>
      </c>
      <c r="F19" s="91"/>
      <c r="G19" s="91"/>
      <c r="H19" s="91"/>
      <c r="I19" s="91"/>
      <c r="J19" s="91"/>
      <c r="K19" s="91"/>
      <c r="L19" s="91"/>
      <c r="M19" s="91"/>
      <c r="N19" s="91"/>
      <c r="O19" s="91"/>
      <c r="P19" s="92"/>
      <c r="Q19" s="50"/>
      <c r="R19" s="50"/>
      <c r="S19" s="50"/>
      <c r="T19" s="50"/>
      <c r="U19" s="50"/>
      <c r="V19" s="50"/>
      <c r="W19" s="50"/>
      <c r="X19" s="50"/>
      <c r="Y19" s="50"/>
      <c r="Z19" s="50"/>
    </row>
    <row r="20" spans="1:26" ht="15.75" customHeight="1" x14ac:dyDescent="0.35">
      <c r="A20" s="50"/>
      <c r="B20" s="322" t="s">
        <v>121</v>
      </c>
      <c r="C20" s="310" t="s">
        <v>109</v>
      </c>
      <c r="D20" s="323">
        <v>0.25</v>
      </c>
      <c r="E20" s="595" t="s">
        <v>370</v>
      </c>
      <c r="F20" s="587"/>
      <c r="G20" s="587"/>
      <c r="H20" s="587"/>
      <c r="I20" s="587"/>
      <c r="J20" s="587"/>
      <c r="K20" s="596"/>
      <c r="L20" s="91"/>
      <c r="M20" s="91"/>
      <c r="N20" s="91"/>
      <c r="O20" s="91"/>
      <c r="P20" s="92"/>
      <c r="Q20" s="50"/>
      <c r="R20" s="50"/>
      <c r="S20" s="50"/>
      <c r="T20" s="50"/>
      <c r="U20" s="50"/>
      <c r="V20" s="50"/>
      <c r="W20" s="50"/>
      <c r="X20" s="50"/>
      <c r="Y20" s="50"/>
      <c r="Z20" s="50"/>
    </row>
    <row r="21" spans="1:26" ht="15.75" customHeight="1" x14ac:dyDescent="0.35">
      <c r="A21" s="50"/>
      <c r="B21" s="322" t="s">
        <v>119</v>
      </c>
      <c r="C21" s="310" t="s">
        <v>109</v>
      </c>
      <c r="D21" s="323">
        <v>0.5</v>
      </c>
      <c r="E21" s="589"/>
      <c r="F21" s="536"/>
      <c r="G21" s="536"/>
      <c r="H21" s="536"/>
      <c r="I21" s="536"/>
      <c r="J21" s="536"/>
      <c r="K21" s="597"/>
      <c r="L21" s="91"/>
      <c r="M21" s="91"/>
      <c r="N21" s="91"/>
      <c r="O21" s="91"/>
      <c r="P21" s="92"/>
      <c r="Q21" s="50"/>
      <c r="R21" s="50"/>
      <c r="S21" s="50"/>
      <c r="T21" s="50"/>
      <c r="U21" s="50"/>
      <c r="V21" s="50"/>
      <c r="W21" s="50"/>
      <c r="X21" s="50"/>
      <c r="Y21" s="50"/>
      <c r="Z21" s="50"/>
    </row>
    <row r="22" spans="1:26" ht="15.75" customHeight="1" x14ac:dyDescent="0.35">
      <c r="A22" s="50"/>
      <c r="B22" s="322" t="s">
        <v>114</v>
      </c>
      <c r="C22" s="310" t="s">
        <v>109</v>
      </c>
      <c r="D22" s="323">
        <v>0.75</v>
      </c>
      <c r="E22" s="590"/>
      <c r="F22" s="591"/>
      <c r="G22" s="591"/>
      <c r="H22" s="591"/>
      <c r="I22" s="591"/>
      <c r="J22" s="591"/>
      <c r="K22" s="598"/>
      <c r="L22" s="91"/>
      <c r="M22" s="91"/>
      <c r="N22" s="91"/>
      <c r="O22" s="91"/>
      <c r="P22" s="92"/>
      <c r="Q22" s="50"/>
      <c r="R22" s="50"/>
      <c r="S22" s="50"/>
      <c r="T22" s="50"/>
      <c r="U22" s="50"/>
      <c r="V22" s="50"/>
      <c r="W22" s="50"/>
      <c r="X22" s="50"/>
      <c r="Y22" s="50"/>
      <c r="Z22" s="50"/>
    </row>
    <row r="23" spans="1:26" ht="15.75" customHeight="1" x14ac:dyDescent="0.35">
      <c r="A23" s="50"/>
      <c r="B23" s="320" t="s">
        <v>371</v>
      </c>
      <c r="C23" s="310" t="s">
        <v>94</v>
      </c>
      <c r="D23" s="316">
        <v>12</v>
      </c>
      <c r="E23" s="91"/>
      <c r="F23" s="91"/>
      <c r="G23" s="91"/>
      <c r="H23" s="91"/>
      <c r="I23" s="91"/>
      <c r="J23" s="91"/>
      <c r="K23" s="91"/>
      <c r="L23" s="91"/>
      <c r="M23" s="91"/>
      <c r="N23" s="91"/>
      <c r="O23" s="91"/>
      <c r="P23" s="92"/>
      <c r="Q23" s="50"/>
      <c r="R23" s="50"/>
      <c r="S23" s="50"/>
      <c r="T23" s="50"/>
      <c r="U23" s="50"/>
      <c r="V23" s="50"/>
      <c r="W23" s="50"/>
      <c r="X23" s="50"/>
      <c r="Y23" s="50"/>
      <c r="Z23" s="50"/>
    </row>
    <row r="24" spans="1:26" ht="15.75" customHeight="1" x14ac:dyDescent="0.35">
      <c r="A24" s="50"/>
      <c r="B24" s="320"/>
      <c r="C24" s="310"/>
      <c r="D24" s="599" t="s">
        <v>129</v>
      </c>
      <c r="E24" s="546"/>
      <c r="F24" s="534"/>
      <c r="G24" s="43" t="s">
        <v>130</v>
      </c>
      <c r="H24" s="324"/>
      <c r="I24" s="324"/>
      <c r="J24" s="324"/>
      <c r="K24" s="324"/>
      <c r="L24" s="324"/>
      <c r="M24" s="324"/>
      <c r="N24" s="324"/>
      <c r="O24" s="324"/>
      <c r="P24" s="325"/>
      <c r="Q24" s="50"/>
      <c r="R24" s="50"/>
      <c r="S24" s="50"/>
      <c r="T24" s="50"/>
      <c r="U24" s="50"/>
      <c r="V24" s="50"/>
      <c r="W24" s="50"/>
      <c r="X24" s="50"/>
      <c r="Y24" s="50"/>
      <c r="Z24" s="50"/>
    </row>
    <row r="25" spans="1:26" ht="15.75" customHeight="1" x14ac:dyDescent="0.35">
      <c r="A25" s="50"/>
      <c r="B25" s="320"/>
      <c r="C25" s="310"/>
      <c r="D25" s="159">
        <f>D31</f>
        <v>1</v>
      </c>
      <c r="E25" s="159">
        <f>+D25+1</f>
        <v>2</v>
      </c>
      <c r="F25" s="159">
        <f t="shared" ref="F25:P25" si="0">E25+1</f>
        <v>3</v>
      </c>
      <c r="G25" s="159">
        <f t="shared" si="0"/>
        <v>4</v>
      </c>
      <c r="H25" s="159">
        <f t="shared" si="0"/>
        <v>5</v>
      </c>
      <c r="I25" s="159">
        <f t="shared" si="0"/>
        <v>6</v>
      </c>
      <c r="J25" s="159">
        <f t="shared" si="0"/>
        <v>7</v>
      </c>
      <c r="K25" s="159">
        <f t="shared" si="0"/>
        <v>8</v>
      </c>
      <c r="L25" s="159">
        <f t="shared" si="0"/>
        <v>9</v>
      </c>
      <c r="M25" s="159">
        <f t="shared" si="0"/>
        <v>10</v>
      </c>
      <c r="N25" s="159">
        <f t="shared" si="0"/>
        <v>11</v>
      </c>
      <c r="O25" s="159">
        <f t="shared" si="0"/>
        <v>12</v>
      </c>
      <c r="P25" s="160">
        <f t="shared" si="0"/>
        <v>13</v>
      </c>
      <c r="Q25" s="50"/>
      <c r="R25" s="50"/>
      <c r="S25" s="50"/>
      <c r="T25" s="50"/>
      <c r="U25" s="50"/>
      <c r="V25" s="50"/>
      <c r="W25" s="50"/>
      <c r="X25" s="50"/>
      <c r="Y25" s="50"/>
      <c r="Z25" s="50"/>
    </row>
    <row r="26" spans="1:26" ht="15.75" customHeight="1" x14ac:dyDescent="0.35">
      <c r="A26" s="50"/>
      <c r="B26" s="96" t="s">
        <v>372</v>
      </c>
      <c r="C26" s="310" t="s">
        <v>202</v>
      </c>
      <c r="D26" s="298">
        <v>30000000</v>
      </c>
      <c r="E26" s="326">
        <v>30000000</v>
      </c>
      <c r="F26" s="326">
        <f t="shared" ref="F26:P26" si="1">300000000</f>
        <v>300000000</v>
      </c>
      <c r="G26" s="326">
        <f t="shared" si="1"/>
        <v>300000000</v>
      </c>
      <c r="H26" s="326">
        <f t="shared" si="1"/>
        <v>300000000</v>
      </c>
      <c r="I26" s="326">
        <f t="shared" si="1"/>
        <v>300000000</v>
      </c>
      <c r="J26" s="326">
        <f t="shared" si="1"/>
        <v>300000000</v>
      </c>
      <c r="K26" s="326">
        <f t="shared" si="1"/>
        <v>300000000</v>
      </c>
      <c r="L26" s="326">
        <f t="shared" si="1"/>
        <v>300000000</v>
      </c>
      <c r="M26" s="326">
        <f t="shared" si="1"/>
        <v>300000000</v>
      </c>
      <c r="N26" s="326">
        <f t="shared" si="1"/>
        <v>300000000</v>
      </c>
      <c r="O26" s="326">
        <f t="shared" si="1"/>
        <v>300000000</v>
      </c>
      <c r="P26" s="326">
        <f t="shared" si="1"/>
        <v>300000000</v>
      </c>
      <c r="Q26" s="50"/>
      <c r="R26" s="50"/>
      <c r="S26" s="308"/>
      <c r="T26" s="50"/>
      <c r="U26" s="50"/>
      <c r="V26" s="50"/>
      <c r="W26" s="50"/>
      <c r="X26" s="50"/>
      <c r="Y26" s="50"/>
      <c r="Z26" s="50"/>
    </row>
    <row r="27" spans="1:26" ht="15.75" customHeight="1" x14ac:dyDescent="0.35">
      <c r="A27" s="50"/>
      <c r="B27" s="233" t="s">
        <v>127</v>
      </c>
      <c r="C27" s="107" t="s">
        <v>109</v>
      </c>
      <c r="D27" s="235">
        <f>'1.Red. Purch. Cost Patient Care'!D68</f>
        <v>0.05</v>
      </c>
      <c r="E27" s="109"/>
      <c r="F27" s="109"/>
      <c r="G27" s="109"/>
      <c r="H27" s="109"/>
      <c r="I27" s="109"/>
      <c r="J27" s="109"/>
      <c r="K27" s="109"/>
      <c r="L27" s="109"/>
      <c r="M27" s="109"/>
      <c r="N27" s="109"/>
      <c r="O27" s="109"/>
      <c r="P27" s="158"/>
      <c r="Q27" s="50"/>
      <c r="R27" s="50"/>
      <c r="S27" s="50"/>
      <c r="T27" s="50"/>
      <c r="U27" s="50"/>
      <c r="V27" s="50"/>
      <c r="W27" s="50"/>
      <c r="X27" s="50"/>
      <c r="Y27" s="50"/>
      <c r="Z27" s="50"/>
    </row>
    <row r="28" spans="1:26" ht="15.75" customHeight="1" x14ac:dyDescent="0.35">
      <c r="A28" s="50"/>
      <c r="B28" s="327"/>
      <c r="C28" s="63"/>
      <c r="D28" s="328"/>
      <c r="E28" s="50"/>
      <c r="F28" s="50"/>
      <c r="G28" s="50"/>
      <c r="H28" s="50"/>
      <c r="I28" s="50"/>
      <c r="J28" s="50"/>
      <c r="K28" s="50"/>
      <c r="L28" s="50"/>
      <c r="M28" s="50"/>
      <c r="N28" s="50"/>
      <c r="O28" s="50"/>
      <c r="P28" s="50"/>
      <c r="Q28" s="50"/>
      <c r="R28" s="50"/>
      <c r="S28" s="50"/>
      <c r="T28" s="50"/>
      <c r="U28" s="50"/>
      <c r="V28" s="50"/>
      <c r="W28" s="50"/>
      <c r="X28" s="50"/>
      <c r="Y28" s="50"/>
      <c r="Z28" s="50"/>
    </row>
    <row r="29" spans="1:26" ht="15.75" customHeight="1" x14ac:dyDescent="0.35">
      <c r="A29" s="50"/>
      <c r="B29" s="50"/>
      <c r="C29" s="63"/>
      <c r="D29" s="50"/>
      <c r="E29" s="50"/>
      <c r="F29" s="50"/>
      <c r="G29" s="50"/>
      <c r="H29" s="50"/>
      <c r="I29" s="50"/>
      <c r="J29" s="50"/>
      <c r="K29" s="50"/>
      <c r="L29" s="50"/>
      <c r="M29" s="50"/>
      <c r="N29" s="50"/>
      <c r="O29" s="50"/>
      <c r="P29" s="50"/>
      <c r="Q29" s="50"/>
      <c r="R29" s="50"/>
      <c r="S29" s="50"/>
      <c r="T29" s="50"/>
      <c r="U29" s="50"/>
      <c r="V29" s="50"/>
      <c r="W29" s="50"/>
      <c r="X29" s="50"/>
      <c r="Y29" s="50"/>
      <c r="Z29" s="50"/>
    </row>
    <row r="30" spans="1:26" ht="15.75" customHeight="1" x14ac:dyDescent="0.35">
      <c r="A30" s="50"/>
      <c r="B30" s="35" t="s">
        <v>55</v>
      </c>
      <c r="C30" s="36"/>
      <c r="D30" s="565" t="s">
        <v>129</v>
      </c>
      <c r="E30" s="552"/>
      <c r="F30" s="553"/>
      <c r="G30" s="112" t="s">
        <v>130</v>
      </c>
      <c r="H30" s="38"/>
      <c r="I30" s="38"/>
      <c r="J30" s="38"/>
      <c r="K30" s="38"/>
      <c r="L30" s="38"/>
      <c r="M30" s="38"/>
      <c r="N30" s="38"/>
      <c r="O30" s="38"/>
      <c r="P30" s="39"/>
      <c r="Q30" s="50"/>
      <c r="R30" s="50"/>
      <c r="S30" s="50"/>
      <c r="T30" s="50"/>
      <c r="U30" s="50"/>
      <c r="V30" s="50"/>
      <c r="W30" s="50"/>
      <c r="X30" s="50"/>
      <c r="Y30" s="50"/>
      <c r="Z30" s="50"/>
    </row>
    <row r="31" spans="1:26" ht="15.75" customHeight="1" x14ac:dyDescent="0.35">
      <c r="A31" s="50"/>
      <c r="B31" s="40"/>
      <c r="C31" s="41"/>
      <c r="D31" s="329">
        <v>1</v>
      </c>
      <c r="E31" s="159">
        <f>+D31+1</f>
        <v>2</v>
      </c>
      <c r="F31" s="159">
        <f t="shared" ref="F31:P31" si="2">E31+1</f>
        <v>3</v>
      </c>
      <c r="G31" s="159">
        <f t="shared" si="2"/>
        <v>4</v>
      </c>
      <c r="H31" s="159">
        <f t="shared" si="2"/>
        <v>5</v>
      </c>
      <c r="I31" s="159">
        <f t="shared" si="2"/>
        <v>6</v>
      </c>
      <c r="J31" s="159">
        <f t="shared" si="2"/>
        <v>7</v>
      </c>
      <c r="K31" s="159">
        <f t="shared" si="2"/>
        <v>8</v>
      </c>
      <c r="L31" s="159">
        <f t="shared" si="2"/>
        <v>9</v>
      </c>
      <c r="M31" s="159">
        <f t="shared" si="2"/>
        <v>10</v>
      </c>
      <c r="N31" s="159">
        <f t="shared" si="2"/>
        <v>11</v>
      </c>
      <c r="O31" s="159">
        <f t="shared" si="2"/>
        <v>12</v>
      </c>
      <c r="P31" s="160">
        <f t="shared" si="2"/>
        <v>13</v>
      </c>
      <c r="Q31" s="50"/>
      <c r="R31" s="50"/>
      <c r="S31" s="50"/>
      <c r="T31" s="50"/>
      <c r="U31" s="50"/>
      <c r="V31" s="50"/>
      <c r="W31" s="50"/>
      <c r="X31" s="50"/>
      <c r="Y31" s="50"/>
      <c r="Z31" s="50"/>
    </row>
    <row r="32" spans="1:26" ht="15.75" customHeight="1" x14ac:dyDescent="0.35">
      <c r="A32" s="50"/>
      <c r="B32" s="169" t="s">
        <v>373</v>
      </c>
      <c r="C32" s="47"/>
      <c r="D32" s="49">
        <f t="shared" ref="D32:P32" si="3">D26</f>
        <v>30000000</v>
      </c>
      <c r="E32" s="49">
        <f t="shared" si="3"/>
        <v>30000000</v>
      </c>
      <c r="F32" s="49">
        <f t="shared" si="3"/>
        <v>300000000</v>
      </c>
      <c r="G32" s="49">
        <f t="shared" si="3"/>
        <v>300000000</v>
      </c>
      <c r="H32" s="49">
        <f t="shared" si="3"/>
        <v>300000000</v>
      </c>
      <c r="I32" s="49">
        <f t="shared" si="3"/>
        <v>300000000</v>
      </c>
      <c r="J32" s="49">
        <f t="shared" si="3"/>
        <v>300000000</v>
      </c>
      <c r="K32" s="49">
        <f t="shared" si="3"/>
        <v>300000000</v>
      </c>
      <c r="L32" s="49">
        <f t="shared" si="3"/>
        <v>300000000</v>
      </c>
      <c r="M32" s="49">
        <f t="shared" si="3"/>
        <v>300000000</v>
      </c>
      <c r="N32" s="49">
        <f t="shared" si="3"/>
        <v>300000000</v>
      </c>
      <c r="O32" s="49">
        <f t="shared" si="3"/>
        <v>300000000</v>
      </c>
      <c r="P32" s="117">
        <f t="shared" si="3"/>
        <v>300000000</v>
      </c>
      <c r="Q32" s="50"/>
      <c r="R32" s="50"/>
      <c r="S32" s="50"/>
      <c r="T32" s="50"/>
      <c r="U32" s="50"/>
      <c r="V32" s="50"/>
      <c r="W32" s="50"/>
      <c r="X32" s="50"/>
      <c r="Y32" s="50"/>
      <c r="Z32" s="50"/>
    </row>
    <row r="33" spans="1:26" ht="15.75" customHeight="1" x14ac:dyDescent="0.35">
      <c r="A33" s="50"/>
      <c r="B33" s="169" t="s">
        <v>374</v>
      </c>
      <c r="C33" s="54"/>
      <c r="D33" s="55">
        <f t="shared" ref="D33:P33" si="4">D32/$D$23</f>
        <v>2500000</v>
      </c>
      <c r="E33" s="55">
        <f t="shared" si="4"/>
        <v>2500000</v>
      </c>
      <c r="F33" s="55">
        <f t="shared" si="4"/>
        <v>25000000</v>
      </c>
      <c r="G33" s="55">
        <f t="shared" si="4"/>
        <v>25000000</v>
      </c>
      <c r="H33" s="55">
        <f t="shared" si="4"/>
        <v>25000000</v>
      </c>
      <c r="I33" s="55">
        <f t="shared" si="4"/>
        <v>25000000</v>
      </c>
      <c r="J33" s="55">
        <f t="shared" si="4"/>
        <v>25000000</v>
      </c>
      <c r="K33" s="55">
        <f t="shared" si="4"/>
        <v>25000000</v>
      </c>
      <c r="L33" s="55">
        <f t="shared" si="4"/>
        <v>25000000</v>
      </c>
      <c r="M33" s="55">
        <f t="shared" si="4"/>
        <v>25000000</v>
      </c>
      <c r="N33" s="55">
        <f t="shared" si="4"/>
        <v>25000000</v>
      </c>
      <c r="O33" s="55">
        <f t="shared" si="4"/>
        <v>25000000</v>
      </c>
      <c r="P33" s="330">
        <f t="shared" si="4"/>
        <v>25000000</v>
      </c>
      <c r="Q33" s="50"/>
      <c r="R33" s="50"/>
      <c r="S33" s="50"/>
      <c r="T33" s="50"/>
      <c r="U33" s="50"/>
      <c r="V33" s="50"/>
      <c r="W33" s="50"/>
      <c r="X33" s="50"/>
      <c r="Y33" s="50"/>
      <c r="Z33" s="50"/>
    </row>
    <row r="34" spans="1:26" ht="15.75" customHeight="1" x14ac:dyDescent="0.35">
      <c r="A34" s="50"/>
      <c r="B34" s="53" t="s">
        <v>375</v>
      </c>
      <c r="C34" s="54"/>
      <c r="D34" s="55">
        <f t="shared" ref="D34:P34" si="5">D33*$D$12</f>
        <v>5000000</v>
      </c>
      <c r="E34" s="55">
        <f t="shared" si="5"/>
        <v>5000000</v>
      </c>
      <c r="F34" s="55">
        <f t="shared" si="5"/>
        <v>50000000</v>
      </c>
      <c r="G34" s="55">
        <f t="shared" si="5"/>
        <v>50000000</v>
      </c>
      <c r="H34" s="55">
        <f t="shared" si="5"/>
        <v>50000000</v>
      </c>
      <c r="I34" s="55">
        <f t="shared" si="5"/>
        <v>50000000</v>
      </c>
      <c r="J34" s="55">
        <f t="shared" si="5"/>
        <v>50000000</v>
      </c>
      <c r="K34" s="55">
        <f t="shared" si="5"/>
        <v>50000000</v>
      </c>
      <c r="L34" s="55">
        <f t="shared" si="5"/>
        <v>50000000</v>
      </c>
      <c r="M34" s="55">
        <f t="shared" si="5"/>
        <v>50000000</v>
      </c>
      <c r="N34" s="55">
        <f t="shared" si="5"/>
        <v>50000000</v>
      </c>
      <c r="O34" s="55">
        <f t="shared" si="5"/>
        <v>50000000</v>
      </c>
      <c r="P34" s="330">
        <f t="shared" si="5"/>
        <v>50000000</v>
      </c>
      <c r="Q34" s="50"/>
      <c r="R34" s="50"/>
      <c r="S34" s="50"/>
      <c r="T34" s="50"/>
      <c r="U34" s="50"/>
      <c r="V34" s="50"/>
      <c r="W34" s="50"/>
      <c r="X34" s="50"/>
      <c r="Y34" s="50"/>
      <c r="Z34" s="50"/>
    </row>
    <row r="35" spans="1:26" ht="16.5" customHeight="1" x14ac:dyDescent="0.35">
      <c r="A35" s="50"/>
      <c r="B35" s="53" t="s">
        <v>376</v>
      </c>
      <c r="C35" s="54"/>
      <c r="D35" s="55">
        <f t="shared" ref="D35:P35" si="6">D34*$D$13</f>
        <v>1500000</v>
      </c>
      <c r="E35" s="55">
        <f t="shared" si="6"/>
        <v>1500000</v>
      </c>
      <c r="F35" s="55">
        <f t="shared" si="6"/>
        <v>15000000</v>
      </c>
      <c r="G35" s="55">
        <f t="shared" si="6"/>
        <v>15000000</v>
      </c>
      <c r="H35" s="55">
        <f t="shared" si="6"/>
        <v>15000000</v>
      </c>
      <c r="I35" s="55">
        <f t="shared" si="6"/>
        <v>15000000</v>
      </c>
      <c r="J35" s="55">
        <f t="shared" si="6"/>
        <v>15000000</v>
      </c>
      <c r="K35" s="55">
        <f t="shared" si="6"/>
        <v>15000000</v>
      </c>
      <c r="L35" s="55">
        <f t="shared" si="6"/>
        <v>15000000</v>
      </c>
      <c r="M35" s="55">
        <f t="shared" si="6"/>
        <v>15000000</v>
      </c>
      <c r="N35" s="55">
        <f t="shared" si="6"/>
        <v>15000000</v>
      </c>
      <c r="O35" s="55">
        <f t="shared" si="6"/>
        <v>15000000</v>
      </c>
      <c r="P35" s="330">
        <f t="shared" si="6"/>
        <v>15000000</v>
      </c>
      <c r="Q35" s="50"/>
      <c r="R35" s="50"/>
      <c r="S35" s="50"/>
      <c r="T35" s="50"/>
      <c r="U35" s="50"/>
      <c r="V35" s="50"/>
      <c r="W35" s="50"/>
      <c r="X35" s="50"/>
      <c r="Y35" s="50"/>
      <c r="Z35" s="50"/>
    </row>
    <row r="36" spans="1:26" ht="15.75" customHeight="1" x14ac:dyDescent="0.35">
      <c r="A36" s="50"/>
      <c r="B36" s="53" t="s">
        <v>377</v>
      </c>
      <c r="C36" s="54"/>
      <c r="D36" s="55">
        <f t="shared" ref="D36:P36" si="7">D35*$D$11</f>
        <v>405000</v>
      </c>
      <c r="E36" s="55">
        <f t="shared" si="7"/>
        <v>405000</v>
      </c>
      <c r="F36" s="55">
        <f t="shared" si="7"/>
        <v>4050000.0000000005</v>
      </c>
      <c r="G36" s="55">
        <f t="shared" si="7"/>
        <v>4050000.0000000005</v>
      </c>
      <c r="H36" s="55">
        <f t="shared" si="7"/>
        <v>4050000.0000000005</v>
      </c>
      <c r="I36" s="55">
        <f t="shared" si="7"/>
        <v>4050000.0000000005</v>
      </c>
      <c r="J36" s="55">
        <f t="shared" si="7"/>
        <v>4050000.0000000005</v>
      </c>
      <c r="K36" s="55">
        <f t="shared" si="7"/>
        <v>4050000.0000000005</v>
      </c>
      <c r="L36" s="55">
        <f t="shared" si="7"/>
        <v>4050000.0000000005</v>
      </c>
      <c r="M36" s="55">
        <f t="shared" si="7"/>
        <v>4050000.0000000005</v>
      </c>
      <c r="N36" s="55">
        <f t="shared" si="7"/>
        <v>4050000.0000000005</v>
      </c>
      <c r="O36" s="55">
        <f t="shared" si="7"/>
        <v>4050000.0000000005</v>
      </c>
      <c r="P36" s="330">
        <f t="shared" si="7"/>
        <v>4050000.0000000005</v>
      </c>
      <c r="Q36" s="50"/>
      <c r="R36" s="50"/>
      <c r="S36" s="50"/>
      <c r="T36" s="50"/>
      <c r="U36" s="50"/>
      <c r="V36" s="50"/>
      <c r="W36" s="50"/>
      <c r="X36" s="50"/>
      <c r="Y36" s="50"/>
      <c r="Z36" s="50"/>
    </row>
    <row r="37" spans="1:26" ht="15.75" customHeight="1" x14ac:dyDescent="0.35">
      <c r="A37" s="50"/>
      <c r="B37" s="53" t="s">
        <v>378</v>
      </c>
      <c r="C37" s="54"/>
      <c r="D37" s="55">
        <f t="shared" ref="D37:P37" si="8">D36*$D$17*$D$19</f>
        <v>10125</v>
      </c>
      <c r="E37" s="55">
        <f t="shared" si="8"/>
        <v>10125</v>
      </c>
      <c r="F37" s="55">
        <f t="shared" si="8"/>
        <v>101250.00000000001</v>
      </c>
      <c r="G37" s="55">
        <f t="shared" si="8"/>
        <v>101250.00000000001</v>
      </c>
      <c r="H37" s="55">
        <f t="shared" si="8"/>
        <v>101250.00000000001</v>
      </c>
      <c r="I37" s="55">
        <f t="shared" si="8"/>
        <v>101250.00000000001</v>
      </c>
      <c r="J37" s="55">
        <f t="shared" si="8"/>
        <v>101250.00000000001</v>
      </c>
      <c r="K37" s="55">
        <f t="shared" si="8"/>
        <v>101250.00000000001</v>
      </c>
      <c r="L37" s="55">
        <f t="shared" si="8"/>
        <v>101250.00000000001</v>
      </c>
      <c r="M37" s="55">
        <f t="shared" si="8"/>
        <v>101250.00000000001</v>
      </c>
      <c r="N37" s="55">
        <f t="shared" si="8"/>
        <v>101250.00000000001</v>
      </c>
      <c r="O37" s="55">
        <f t="shared" si="8"/>
        <v>101250.00000000001</v>
      </c>
      <c r="P37" s="330">
        <f t="shared" si="8"/>
        <v>101250.00000000001</v>
      </c>
      <c r="Q37" s="50"/>
      <c r="R37" s="50"/>
      <c r="S37" s="50"/>
      <c r="T37" s="50"/>
      <c r="U37" s="50"/>
      <c r="V37" s="50"/>
      <c r="W37" s="50"/>
      <c r="X37" s="50"/>
      <c r="Y37" s="50"/>
      <c r="Z37" s="50"/>
    </row>
    <row r="38" spans="1:26" ht="15.75" customHeight="1" x14ac:dyDescent="0.35">
      <c r="A38" s="50"/>
      <c r="B38" s="131" t="s">
        <v>137</v>
      </c>
      <c r="C38" s="303" t="s">
        <v>138</v>
      </c>
      <c r="D38" s="133">
        <f t="array" ref="D38">NPV(D27,D37:P37)</f>
        <v>781660.4894330739</v>
      </c>
      <c r="E38" s="331"/>
      <c r="F38" s="331"/>
      <c r="G38" s="331"/>
      <c r="H38" s="331"/>
      <c r="I38" s="331"/>
      <c r="J38" s="331"/>
      <c r="K38" s="331"/>
      <c r="L38" s="331"/>
      <c r="M38" s="331"/>
      <c r="N38" s="331"/>
      <c r="O38" s="331"/>
      <c r="P38" s="332"/>
      <c r="Q38" s="50"/>
      <c r="R38" s="50"/>
      <c r="S38" s="50"/>
      <c r="T38" s="50"/>
      <c r="U38" s="50"/>
      <c r="V38" s="50"/>
      <c r="W38" s="50"/>
      <c r="X38" s="50"/>
      <c r="Y38" s="50"/>
      <c r="Z38" s="50"/>
    </row>
    <row r="39" spans="1:26" ht="15.75" customHeight="1" x14ac:dyDescent="0.35">
      <c r="A39" s="50"/>
      <c r="B39" s="190"/>
      <c r="C39" s="54"/>
      <c r="D39" s="333"/>
      <c r="E39" s="49"/>
      <c r="F39" s="49"/>
      <c r="G39" s="49"/>
      <c r="H39" s="49"/>
      <c r="I39" s="49"/>
      <c r="J39" s="49"/>
      <c r="K39" s="49"/>
      <c r="L39" s="49"/>
      <c r="M39" s="49"/>
      <c r="N39" s="49"/>
      <c r="O39" s="49"/>
      <c r="P39" s="49"/>
      <c r="Q39" s="50"/>
      <c r="R39" s="50"/>
      <c r="S39" s="50"/>
      <c r="T39" s="50"/>
      <c r="U39" s="50"/>
      <c r="V39" s="50"/>
      <c r="W39" s="50"/>
      <c r="X39" s="50"/>
      <c r="Y39" s="50"/>
      <c r="Z39" s="50"/>
    </row>
    <row r="40" spans="1:26" ht="15.75" customHeight="1" x14ac:dyDescent="0.35">
      <c r="A40" s="50"/>
      <c r="B40" s="190"/>
      <c r="C40" s="54"/>
      <c r="D40" s="334"/>
      <c r="E40" s="49"/>
      <c r="F40" s="49"/>
      <c r="G40" s="49"/>
      <c r="H40" s="335"/>
      <c r="I40" s="49"/>
      <c r="J40" s="49"/>
      <c r="K40" s="49"/>
      <c r="L40" s="49"/>
      <c r="M40" s="49"/>
      <c r="N40" s="49"/>
      <c r="O40" s="49"/>
      <c r="P40" s="49"/>
      <c r="Q40" s="50"/>
      <c r="R40" s="50"/>
      <c r="S40" s="50"/>
      <c r="T40" s="50"/>
      <c r="U40" s="50"/>
      <c r="V40" s="50"/>
      <c r="W40" s="50"/>
      <c r="X40" s="50"/>
      <c r="Y40" s="50"/>
      <c r="Z40" s="50"/>
    </row>
    <row r="41" spans="1:26" ht="15.75" customHeight="1" x14ac:dyDescent="0.35">
      <c r="A41" s="50"/>
      <c r="B41" s="190"/>
      <c r="C41" s="54"/>
      <c r="D41" s="336"/>
      <c r="E41" s="49"/>
      <c r="F41" s="49"/>
      <c r="G41" s="49"/>
      <c r="H41" s="49"/>
      <c r="I41" s="49"/>
      <c r="J41" s="49"/>
      <c r="K41" s="49"/>
      <c r="L41" s="49"/>
      <c r="M41" s="49"/>
      <c r="N41" s="49"/>
      <c r="O41" s="49"/>
      <c r="P41" s="49"/>
      <c r="Q41" s="50"/>
      <c r="R41" s="50"/>
      <c r="S41" s="50"/>
      <c r="T41" s="50"/>
      <c r="U41" s="50"/>
      <c r="V41" s="50"/>
      <c r="W41" s="50"/>
      <c r="X41" s="50"/>
      <c r="Y41" s="50"/>
      <c r="Z41" s="50"/>
    </row>
    <row r="42" spans="1:26" ht="15.75" customHeight="1" x14ac:dyDescent="0.35">
      <c r="A42" s="50"/>
      <c r="B42" s="337"/>
      <c r="C42" s="194"/>
      <c r="D42" s="245"/>
      <c r="E42" s="245"/>
      <c r="F42" s="245"/>
      <c r="G42" s="245"/>
      <c r="H42" s="245"/>
      <c r="I42" s="245"/>
      <c r="J42" s="245"/>
      <c r="K42" s="245"/>
      <c r="L42" s="245"/>
      <c r="M42" s="245"/>
      <c r="N42" s="245"/>
      <c r="O42" s="245"/>
      <c r="P42" s="245"/>
      <c r="Q42" s="50"/>
      <c r="R42" s="50"/>
      <c r="S42" s="50"/>
      <c r="T42" s="50"/>
      <c r="U42" s="50"/>
      <c r="V42" s="50"/>
      <c r="W42" s="50"/>
      <c r="X42" s="50"/>
      <c r="Y42" s="50"/>
      <c r="Z42" s="50"/>
    </row>
    <row r="43" spans="1:26" ht="15.75" customHeight="1" x14ac:dyDescent="0.35">
      <c r="A43" s="50"/>
      <c r="B43" s="99"/>
      <c r="C43" s="63"/>
      <c r="D43" s="120"/>
      <c r="E43" s="50"/>
      <c r="F43" s="50"/>
      <c r="G43" s="50"/>
      <c r="H43" s="50"/>
      <c r="I43" s="50"/>
      <c r="J43" s="50"/>
      <c r="K43" s="50"/>
      <c r="L43" s="50"/>
      <c r="M43" s="50"/>
      <c r="N43" s="50"/>
      <c r="O43" s="50"/>
      <c r="P43" s="50"/>
      <c r="Q43" s="50"/>
      <c r="R43" s="50"/>
      <c r="S43" s="50"/>
      <c r="T43" s="50"/>
      <c r="U43" s="50"/>
      <c r="V43" s="50"/>
      <c r="W43" s="50"/>
      <c r="X43" s="50"/>
      <c r="Y43" s="50"/>
      <c r="Z43" s="50"/>
    </row>
    <row r="44" spans="1:26" ht="15.75" customHeight="1" x14ac:dyDescent="0.35">
      <c r="A44" s="50"/>
      <c r="B44" s="190"/>
      <c r="C44" s="63"/>
      <c r="D44" s="242"/>
      <c r="E44" s="242"/>
      <c r="F44" s="242"/>
      <c r="G44" s="242"/>
      <c r="H44" s="242"/>
      <c r="I44" s="242"/>
      <c r="J44" s="242"/>
      <c r="K44" s="242"/>
      <c r="L44" s="242"/>
      <c r="M44" s="242"/>
      <c r="N44" s="242"/>
      <c r="O44" s="242"/>
      <c r="P44" s="242"/>
      <c r="Q44" s="50"/>
      <c r="R44" s="50"/>
      <c r="S44" s="50"/>
      <c r="T44" s="50"/>
      <c r="U44" s="50"/>
      <c r="V44" s="50"/>
      <c r="W44" s="50"/>
      <c r="X44" s="50"/>
      <c r="Y44" s="50"/>
      <c r="Z44" s="50"/>
    </row>
    <row r="45" spans="1:26" ht="15.75" customHeight="1" x14ac:dyDescent="0.35">
      <c r="A45" s="50"/>
      <c r="B45" s="190"/>
      <c r="C45" s="63"/>
      <c r="D45" s="242"/>
      <c r="E45" s="242"/>
      <c r="F45" s="242"/>
      <c r="G45" s="242"/>
      <c r="H45" s="242"/>
      <c r="I45" s="242"/>
      <c r="J45" s="242"/>
      <c r="K45" s="242"/>
      <c r="L45" s="242"/>
      <c r="M45" s="242"/>
      <c r="N45" s="242"/>
      <c r="O45" s="242"/>
      <c r="P45" s="242"/>
      <c r="Q45" s="50"/>
      <c r="R45" s="50"/>
      <c r="S45" s="50"/>
      <c r="T45" s="50"/>
      <c r="U45" s="50"/>
      <c r="V45" s="50"/>
      <c r="W45" s="50"/>
      <c r="X45" s="50"/>
      <c r="Y45" s="50"/>
      <c r="Z45" s="50"/>
    </row>
    <row r="46" spans="1:26" ht="15.75" customHeight="1" x14ac:dyDescent="0.35">
      <c r="A46" s="50"/>
      <c r="B46" s="190"/>
      <c r="C46" s="63"/>
      <c r="D46" s="242"/>
      <c r="E46" s="242"/>
      <c r="F46" s="242"/>
      <c r="G46" s="242"/>
      <c r="H46" s="242"/>
      <c r="I46" s="242"/>
      <c r="J46" s="242"/>
      <c r="K46" s="242"/>
      <c r="L46" s="242"/>
      <c r="M46" s="242"/>
      <c r="N46" s="242"/>
      <c r="O46" s="242"/>
      <c r="P46" s="242"/>
      <c r="Q46" s="50"/>
      <c r="R46" s="50"/>
      <c r="S46" s="50"/>
      <c r="T46" s="50"/>
      <c r="U46" s="50"/>
      <c r="V46" s="50"/>
      <c r="W46" s="50"/>
      <c r="X46" s="50"/>
      <c r="Y46" s="50"/>
      <c r="Z46" s="50"/>
    </row>
    <row r="47" spans="1:26" ht="15.75" customHeight="1" x14ac:dyDescent="0.35">
      <c r="A47" s="50"/>
      <c r="B47" s="190"/>
      <c r="C47" s="63"/>
      <c r="D47" s="242"/>
      <c r="E47" s="242"/>
      <c r="F47" s="242"/>
      <c r="G47" s="242"/>
      <c r="H47" s="242"/>
      <c r="I47" s="242"/>
      <c r="J47" s="242"/>
      <c r="K47" s="242"/>
      <c r="L47" s="242"/>
      <c r="M47" s="242"/>
      <c r="N47" s="242"/>
      <c r="O47" s="242"/>
      <c r="P47" s="242"/>
      <c r="Q47" s="50"/>
      <c r="R47" s="50"/>
      <c r="S47" s="50"/>
      <c r="T47" s="50"/>
      <c r="U47" s="50"/>
      <c r="V47" s="50"/>
      <c r="W47" s="50"/>
      <c r="X47" s="50"/>
      <c r="Y47" s="50"/>
      <c r="Z47" s="50"/>
    </row>
    <row r="48" spans="1:26" ht="15.75" customHeight="1" x14ac:dyDescent="0.35">
      <c r="A48" s="50"/>
      <c r="B48" s="190"/>
      <c r="C48" s="63"/>
      <c r="D48" s="242"/>
      <c r="E48" s="242"/>
      <c r="F48" s="242"/>
      <c r="G48" s="242"/>
      <c r="H48" s="242"/>
      <c r="I48" s="242"/>
      <c r="J48" s="242"/>
      <c r="K48" s="242"/>
      <c r="L48" s="242"/>
      <c r="M48" s="242"/>
      <c r="N48" s="242"/>
      <c r="O48" s="242"/>
      <c r="P48" s="242"/>
      <c r="Q48" s="50"/>
      <c r="R48" s="50"/>
      <c r="S48" s="50"/>
      <c r="T48" s="50"/>
      <c r="U48" s="50"/>
      <c r="V48" s="50"/>
      <c r="W48" s="50"/>
      <c r="X48" s="50"/>
      <c r="Y48" s="50"/>
      <c r="Z48" s="50"/>
    </row>
    <row r="49" spans="1:26" ht="15.75" customHeight="1" x14ac:dyDescent="0.35">
      <c r="A49" s="50"/>
      <c r="B49" s="190"/>
      <c r="C49" s="63"/>
      <c r="D49" s="242"/>
      <c r="E49" s="242"/>
      <c r="F49" s="242"/>
      <c r="G49" s="242"/>
      <c r="H49" s="242"/>
      <c r="I49" s="242"/>
      <c r="J49" s="242"/>
      <c r="K49" s="242"/>
      <c r="L49" s="242"/>
      <c r="M49" s="242"/>
      <c r="N49" s="242"/>
      <c r="O49" s="242"/>
      <c r="P49" s="242"/>
      <c r="Q49" s="50"/>
      <c r="R49" s="50"/>
      <c r="S49" s="50"/>
      <c r="T49" s="50"/>
      <c r="U49" s="50"/>
      <c r="V49" s="50"/>
      <c r="W49" s="50"/>
      <c r="X49" s="50"/>
      <c r="Y49" s="50"/>
      <c r="Z49" s="50"/>
    </row>
    <row r="50" spans="1:26" ht="15.75" customHeight="1" x14ac:dyDescent="0.35">
      <c r="A50" s="50"/>
      <c r="B50" s="190"/>
      <c r="C50" s="63"/>
      <c r="D50" s="242"/>
      <c r="E50" s="242"/>
      <c r="F50" s="242"/>
      <c r="G50" s="242"/>
      <c r="H50" s="242"/>
      <c r="I50" s="242"/>
      <c r="J50" s="242"/>
      <c r="K50" s="242"/>
      <c r="L50" s="242"/>
      <c r="M50" s="242"/>
      <c r="N50" s="242"/>
      <c r="O50" s="242"/>
      <c r="P50" s="242"/>
      <c r="Q50" s="50"/>
      <c r="R50" s="50"/>
      <c r="S50" s="50"/>
      <c r="T50" s="50"/>
      <c r="U50" s="50"/>
      <c r="V50" s="50"/>
      <c r="W50" s="50"/>
      <c r="X50" s="50"/>
      <c r="Y50" s="50"/>
      <c r="Z50" s="50"/>
    </row>
    <row r="51" spans="1:26" ht="15.75" customHeight="1" x14ac:dyDescent="0.35">
      <c r="A51" s="50"/>
      <c r="B51" s="338"/>
      <c r="C51" s="65"/>
      <c r="D51" s="123"/>
      <c r="E51" s="123"/>
      <c r="F51" s="123"/>
      <c r="G51" s="50"/>
      <c r="H51" s="50"/>
      <c r="I51" s="50"/>
      <c r="J51" s="50"/>
      <c r="K51" s="50"/>
      <c r="L51" s="50"/>
      <c r="M51" s="50"/>
      <c r="N51" s="50"/>
      <c r="O51" s="50"/>
      <c r="P51" s="50"/>
      <c r="Q51" s="50"/>
      <c r="R51" s="50"/>
      <c r="S51" s="50"/>
      <c r="T51" s="50"/>
      <c r="U51" s="50"/>
      <c r="V51" s="50"/>
      <c r="W51" s="50"/>
      <c r="X51" s="50"/>
      <c r="Y51" s="50"/>
      <c r="Z51" s="50"/>
    </row>
    <row r="52" spans="1:26" ht="15.75" customHeight="1" x14ac:dyDescent="0.35">
      <c r="A52" s="50"/>
      <c r="B52" s="190"/>
      <c r="C52" s="54"/>
      <c r="D52" s="120"/>
      <c r="E52" s="120"/>
      <c r="F52" s="120"/>
      <c r="G52" s="120"/>
      <c r="H52" s="120"/>
      <c r="I52" s="120"/>
      <c r="J52" s="120"/>
      <c r="K52" s="120"/>
      <c r="L52" s="120"/>
      <c r="M52" s="120"/>
      <c r="N52" s="120"/>
      <c r="O52" s="120"/>
      <c r="P52" s="120"/>
      <c r="Q52" s="50"/>
      <c r="R52" s="50"/>
      <c r="S52" s="50"/>
      <c r="T52" s="50"/>
      <c r="U52" s="50"/>
      <c r="V52" s="50"/>
      <c r="W52" s="50"/>
      <c r="X52" s="50"/>
      <c r="Y52" s="50"/>
      <c r="Z52" s="50"/>
    </row>
    <row r="53" spans="1:26" ht="15.75" customHeight="1" x14ac:dyDescent="0.35">
      <c r="A53" s="50"/>
      <c r="B53" s="190"/>
      <c r="C53" s="54"/>
      <c r="D53" s="120"/>
      <c r="E53" s="120"/>
      <c r="F53" s="120"/>
      <c r="G53" s="120"/>
      <c r="H53" s="120"/>
      <c r="I53" s="120"/>
      <c r="J53" s="120"/>
      <c r="K53" s="120"/>
      <c r="L53" s="120"/>
      <c r="M53" s="120"/>
      <c r="N53" s="120"/>
      <c r="O53" s="120"/>
      <c r="P53" s="120"/>
      <c r="Q53" s="50"/>
      <c r="R53" s="50"/>
      <c r="S53" s="50"/>
      <c r="T53" s="50"/>
      <c r="U53" s="50"/>
      <c r="V53" s="50"/>
      <c r="W53" s="50"/>
      <c r="X53" s="50"/>
      <c r="Y53" s="50"/>
      <c r="Z53" s="50"/>
    </row>
    <row r="54" spans="1:26" ht="15.75" customHeight="1" x14ac:dyDescent="0.35">
      <c r="A54" s="50"/>
      <c r="B54" s="190"/>
      <c r="C54" s="54"/>
      <c r="D54" s="120"/>
      <c r="E54" s="120"/>
      <c r="F54" s="120"/>
      <c r="G54" s="120"/>
      <c r="H54" s="120"/>
      <c r="I54" s="120"/>
      <c r="J54" s="120"/>
      <c r="K54" s="120"/>
      <c r="L54" s="120"/>
      <c r="M54" s="120"/>
      <c r="N54" s="120"/>
      <c r="O54" s="120"/>
      <c r="P54" s="120"/>
      <c r="Q54" s="50"/>
      <c r="R54" s="50"/>
      <c r="S54" s="50"/>
      <c r="T54" s="50"/>
      <c r="U54" s="50"/>
      <c r="V54" s="50"/>
      <c r="W54" s="50"/>
      <c r="X54" s="50"/>
      <c r="Y54" s="50"/>
      <c r="Z54" s="50"/>
    </row>
    <row r="55" spans="1:26" ht="15.75" customHeight="1" x14ac:dyDescent="0.35">
      <c r="A55" s="50"/>
      <c r="B55" s="190"/>
      <c r="C55" s="54"/>
      <c r="D55" s="120"/>
      <c r="E55" s="120"/>
      <c r="F55" s="120"/>
      <c r="G55" s="120"/>
      <c r="H55" s="120"/>
      <c r="I55" s="120"/>
      <c r="J55" s="120"/>
      <c r="K55" s="120"/>
      <c r="L55" s="120"/>
      <c r="M55" s="120"/>
      <c r="N55" s="120"/>
      <c r="O55" s="120"/>
      <c r="P55" s="120"/>
      <c r="Q55" s="50"/>
      <c r="R55" s="50"/>
      <c r="S55" s="50"/>
      <c r="T55" s="50"/>
      <c r="U55" s="50"/>
      <c r="V55" s="50"/>
      <c r="W55" s="50"/>
      <c r="X55" s="50"/>
      <c r="Y55" s="50"/>
      <c r="Z55" s="50"/>
    </row>
    <row r="56" spans="1:26" ht="15.75" customHeight="1" x14ac:dyDescent="0.35">
      <c r="A56" s="50"/>
      <c r="B56" s="190"/>
      <c r="C56" s="54"/>
      <c r="D56" s="120"/>
      <c r="E56" s="120"/>
      <c r="F56" s="120"/>
      <c r="G56" s="120"/>
      <c r="H56" s="120"/>
      <c r="I56" s="120"/>
      <c r="J56" s="120"/>
      <c r="K56" s="120"/>
      <c r="L56" s="120"/>
      <c r="M56" s="120"/>
      <c r="N56" s="120"/>
      <c r="O56" s="120"/>
      <c r="P56" s="120"/>
      <c r="Q56" s="50"/>
      <c r="R56" s="50"/>
      <c r="S56" s="50"/>
      <c r="T56" s="50"/>
      <c r="U56" s="50"/>
      <c r="V56" s="50"/>
      <c r="W56" s="50"/>
      <c r="X56" s="50"/>
      <c r="Y56" s="50"/>
      <c r="Z56" s="50"/>
    </row>
    <row r="57" spans="1:26" ht="15.75" customHeight="1" x14ac:dyDescent="0.35">
      <c r="A57" s="50"/>
      <c r="B57" s="190"/>
      <c r="C57" s="54"/>
      <c r="D57" s="120"/>
      <c r="E57" s="120"/>
      <c r="F57" s="120"/>
      <c r="G57" s="120"/>
      <c r="H57" s="120"/>
      <c r="I57" s="120"/>
      <c r="J57" s="120"/>
      <c r="K57" s="120"/>
      <c r="L57" s="120"/>
      <c r="M57" s="120"/>
      <c r="N57" s="120"/>
      <c r="O57" s="120"/>
      <c r="P57" s="120"/>
      <c r="Q57" s="50"/>
      <c r="R57" s="50"/>
      <c r="S57" s="50"/>
      <c r="T57" s="50"/>
      <c r="U57" s="50"/>
      <c r="V57" s="50"/>
      <c r="W57" s="50"/>
      <c r="X57" s="50"/>
      <c r="Y57" s="50"/>
      <c r="Z57" s="50"/>
    </row>
    <row r="58" spans="1:26" ht="15.75" customHeight="1" x14ac:dyDescent="0.35">
      <c r="A58" s="50"/>
      <c r="B58" s="190"/>
      <c r="C58" s="54"/>
      <c r="D58" s="120"/>
      <c r="E58" s="120"/>
      <c r="F58" s="120"/>
      <c r="G58" s="120"/>
      <c r="H58" s="120"/>
      <c r="I58" s="120"/>
      <c r="J58" s="120"/>
      <c r="K58" s="120"/>
      <c r="L58" s="120"/>
      <c r="M58" s="120"/>
      <c r="N58" s="120"/>
      <c r="O58" s="120"/>
      <c r="P58" s="120"/>
      <c r="Q58" s="50"/>
      <c r="R58" s="50"/>
      <c r="S58" s="50"/>
      <c r="T58" s="50"/>
      <c r="U58" s="50"/>
      <c r="V58" s="50"/>
      <c r="W58" s="50"/>
      <c r="X58" s="50"/>
      <c r="Y58" s="50"/>
      <c r="Z58" s="50"/>
    </row>
    <row r="59" spans="1:26" ht="15.75" customHeight="1" x14ac:dyDescent="0.35">
      <c r="A59" s="50"/>
      <c r="B59" s="337"/>
      <c r="C59" s="194"/>
      <c r="D59" s="245"/>
      <c r="E59" s="245"/>
      <c r="F59" s="245"/>
      <c r="G59" s="245"/>
      <c r="H59" s="245"/>
      <c r="I59" s="245"/>
      <c r="J59" s="245"/>
      <c r="K59" s="245"/>
      <c r="L59" s="245"/>
      <c r="M59" s="245"/>
      <c r="N59" s="245"/>
      <c r="O59" s="245"/>
      <c r="P59" s="245"/>
      <c r="Q59" s="50"/>
      <c r="R59" s="50"/>
      <c r="S59" s="50"/>
      <c r="T59" s="50"/>
      <c r="U59" s="50"/>
      <c r="V59" s="50"/>
      <c r="W59" s="50"/>
      <c r="X59" s="50"/>
      <c r="Y59" s="50"/>
      <c r="Z59" s="50"/>
    </row>
    <row r="60" spans="1:26" ht="15.75" customHeight="1" x14ac:dyDescent="0.35">
      <c r="A60" s="50"/>
      <c r="B60" s="338"/>
      <c r="C60" s="47"/>
      <c r="D60" s="120"/>
      <c r="E60" s="120"/>
      <c r="F60" s="120"/>
      <c r="G60" s="120"/>
      <c r="H60" s="120"/>
      <c r="I60" s="120"/>
      <c r="J60" s="120"/>
      <c r="K60" s="120"/>
      <c r="L60" s="120"/>
      <c r="M60" s="120"/>
      <c r="N60" s="50"/>
      <c r="O60" s="50"/>
      <c r="P60" s="50"/>
      <c r="Q60" s="50"/>
      <c r="R60" s="50"/>
      <c r="S60" s="50"/>
      <c r="T60" s="50"/>
      <c r="U60" s="50"/>
      <c r="V60" s="50"/>
      <c r="W60" s="50"/>
      <c r="X60" s="50"/>
      <c r="Y60" s="50"/>
      <c r="Z60" s="50"/>
    </row>
    <row r="61" spans="1:26" ht="15.75" customHeight="1" x14ac:dyDescent="0.35">
      <c r="A61" s="50"/>
      <c r="B61" s="190"/>
      <c r="C61" s="63"/>
      <c r="D61" s="120"/>
      <c r="E61" s="120"/>
      <c r="F61" s="120"/>
      <c r="G61" s="120"/>
      <c r="H61" s="120"/>
      <c r="I61" s="120"/>
      <c r="J61" s="120"/>
      <c r="K61" s="120"/>
      <c r="L61" s="120"/>
      <c r="M61" s="120"/>
      <c r="N61" s="120"/>
      <c r="O61" s="120"/>
      <c r="P61" s="120"/>
      <c r="Q61" s="50"/>
      <c r="R61" s="50"/>
      <c r="S61" s="50"/>
      <c r="T61" s="50"/>
      <c r="U61" s="50"/>
      <c r="V61" s="50"/>
      <c r="W61" s="50"/>
      <c r="X61" s="50"/>
      <c r="Y61" s="50"/>
      <c r="Z61" s="50"/>
    </row>
    <row r="62" spans="1:26" ht="15.75" customHeight="1" x14ac:dyDescent="0.35">
      <c r="A62" s="50"/>
      <c r="B62" s="190"/>
      <c r="C62" s="63"/>
      <c r="D62" s="120"/>
      <c r="E62" s="120"/>
      <c r="F62" s="120"/>
      <c r="G62" s="120"/>
      <c r="H62" s="120"/>
      <c r="I62" s="120"/>
      <c r="J62" s="120"/>
      <c r="K62" s="120"/>
      <c r="L62" s="120"/>
      <c r="M62" s="120"/>
      <c r="N62" s="120"/>
      <c r="O62" s="120"/>
      <c r="P62" s="120"/>
      <c r="Q62" s="50"/>
      <c r="R62" s="50"/>
      <c r="S62" s="50"/>
      <c r="T62" s="50"/>
      <c r="U62" s="50"/>
      <c r="V62" s="50"/>
      <c r="W62" s="50"/>
      <c r="X62" s="50"/>
      <c r="Y62" s="50"/>
      <c r="Z62" s="50"/>
    </row>
    <row r="63" spans="1:26" ht="15.75" customHeight="1" x14ac:dyDescent="0.35">
      <c r="A63" s="50"/>
      <c r="B63" s="190"/>
      <c r="C63" s="63"/>
      <c r="D63" s="120"/>
      <c r="E63" s="120"/>
      <c r="F63" s="120"/>
      <c r="G63" s="120"/>
      <c r="H63" s="120"/>
      <c r="I63" s="120"/>
      <c r="J63" s="120"/>
      <c r="K63" s="120"/>
      <c r="L63" s="120"/>
      <c r="M63" s="120"/>
      <c r="N63" s="120"/>
      <c r="O63" s="120"/>
      <c r="P63" s="120"/>
      <c r="Q63" s="50"/>
      <c r="R63" s="50"/>
      <c r="S63" s="50"/>
      <c r="T63" s="50"/>
      <c r="U63" s="50"/>
      <c r="V63" s="50"/>
      <c r="W63" s="50"/>
      <c r="X63" s="50"/>
      <c r="Y63" s="50"/>
      <c r="Z63" s="50"/>
    </row>
    <row r="64" spans="1:26" ht="15.75" customHeight="1" x14ac:dyDescent="0.35">
      <c r="A64" s="50"/>
      <c r="B64" s="190"/>
      <c r="C64" s="63"/>
      <c r="D64" s="120"/>
      <c r="E64" s="120"/>
      <c r="F64" s="120"/>
      <c r="G64" s="120"/>
      <c r="H64" s="120"/>
      <c r="I64" s="120"/>
      <c r="J64" s="120"/>
      <c r="K64" s="120"/>
      <c r="L64" s="120"/>
      <c r="M64" s="120"/>
      <c r="N64" s="120"/>
      <c r="O64" s="120"/>
      <c r="P64" s="120"/>
      <c r="Q64" s="50"/>
      <c r="R64" s="50"/>
      <c r="S64" s="50"/>
      <c r="T64" s="50"/>
      <c r="U64" s="50"/>
      <c r="V64" s="50"/>
      <c r="W64" s="50"/>
      <c r="X64" s="50"/>
      <c r="Y64" s="50"/>
      <c r="Z64" s="50"/>
    </row>
    <row r="65" spans="1:26" ht="15.75" customHeight="1" x14ac:dyDescent="0.35">
      <c r="A65" s="50"/>
      <c r="B65" s="190"/>
      <c r="C65" s="63"/>
      <c r="D65" s="120"/>
      <c r="E65" s="120"/>
      <c r="F65" s="120"/>
      <c r="G65" s="120"/>
      <c r="H65" s="120"/>
      <c r="I65" s="120"/>
      <c r="J65" s="120"/>
      <c r="K65" s="120"/>
      <c r="L65" s="120"/>
      <c r="M65" s="120"/>
      <c r="N65" s="120"/>
      <c r="O65" s="120"/>
      <c r="P65" s="120"/>
      <c r="Q65" s="50"/>
      <c r="R65" s="50"/>
      <c r="S65" s="50"/>
      <c r="T65" s="50"/>
      <c r="U65" s="50"/>
      <c r="V65" s="50"/>
      <c r="W65" s="50"/>
      <c r="X65" s="50"/>
      <c r="Y65" s="50"/>
      <c r="Z65" s="50"/>
    </row>
    <row r="66" spans="1:26" ht="15.75" customHeight="1" x14ac:dyDescent="0.35">
      <c r="A66" s="50"/>
      <c r="B66" s="190"/>
      <c r="C66" s="63"/>
      <c r="D66" s="120"/>
      <c r="E66" s="120"/>
      <c r="F66" s="120"/>
      <c r="G66" s="120"/>
      <c r="H66" s="120"/>
      <c r="I66" s="120"/>
      <c r="J66" s="120"/>
      <c r="K66" s="120"/>
      <c r="L66" s="120"/>
      <c r="M66" s="120"/>
      <c r="N66" s="120"/>
      <c r="O66" s="120"/>
      <c r="P66" s="120"/>
      <c r="Q66" s="50"/>
      <c r="R66" s="50"/>
      <c r="S66" s="50"/>
      <c r="T66" s="50"/>
      <c r="U66" s="50"/>
      <c r="V66" s="50"/>
      <c r="W66" s="50"/>
      <c r="X66" s="50"/>
      <c r="Y66" s="50"/>
      <c r="Z66" s="50"/>
    </row>
    <row r="67" spans="1:26" ht="15.75" customHeight="1" x14ac:dyDescent="0.35">
      <c r="A67" s="50"/>
      <c r="B67" s="190"/>
      <c r="C67" s="63"/>
      <c r="D67" s="120"/>
      <c r="E67" s="120"/>
      <c r="F67" s="120"/>
      <c r="G67" s="120"/>
      <c r="H67" s="120"/>
      <c r="I67" s="120"/>
      <c r="J67" s="120"/>
      <c r="K67" s="120"/>
      <c r="L67" s="120"/>
      <c r="M67" s="120"/>
      <c r="N67" s="120"/>
      <c r="O67" s="120"/>
      <c r="P67" s="120"/>
      <c r="Q67" s="50"/>
      <c r="R67" s="50"/>
      <c r="S67" s="50"/>
      <c r="T67" s="50"/>
      <c r="U67" s="50"/>
      <c r="V67" s="50"/>
      <c r="W67" s="50"/>
      <c r="X67" s="50"/>
      <c r="Y67" s="50"/>
      <c r="Z67" s="50"/>
    </row>
    <row r="68" spans="1:26" ht="15.75" customHeight="1" x14ac:dyDescent="0.35">
      <c r="A68" s="50"/>
      <c r="B68" s="337"/>
      <c r="C68" s="194"/>
      <c r="D68" s="245"/>
      <c r="E68" s="245"/>
      <c r="F68" s="245"/>
      <c r="G68" s="245"/>
      <c r="H68" s="245"/>
      <c r="I68" s="246"/>
      <c r="J68" s="246"/>
      <c r="K68" s="246"/>
      <c r="L68" s="246"/>
      <c r="M68" s="246"/>
      <c r="N68" s="246"/>
      <c r="O68" s="246"/>
      <c r="P68" s="246"/>
      <c r="Q68" s="50"/>
      <c r="R68" s="50"/>
      <c r="S68" s="50"/>
      <c r="T68" s="50"/>
      <c r="U68" s="50"/>
      <c r="V68" s="50"/>
      <c r="W68" s="50"/>
      <c r="X68" s="50"/>
      <c r="Y68" s="50"/>
      <c r="Z68" s="50"/>
    </row>
    <row r="69" spans="1:26" ht="15.75" customHeight="1" x14ac:dyDescent="0.35">
      <c r="A69" s="50"/>
      <c r="B69" s="338"/>
      <c r="C69" s="194"/>
      <c r="D69" s="245"/>
      <c r="E69" s="245"/>
      <c r="F69" s="245"/>
      <c r="G69" s="245"/>
      <c r="H69" s="245"/>
      <c r="I69" s="246"/>
      <c r="J69" s="246"/>
      <c r="K69" s="246"/>
      <c r="L69" s="246"/>
      <c r="M69" s="246"/>
      <c r="N69" s="246"/>
      <c r="O69" s="246"/>
      <c r="P69" s="246"/>
      <c r="Q69" s="50"/>
      <c r="R69" s="50"/>
      <c r="S69" s="50"/>
      <c r="T69" s="50"/>
      <c r="U69" s="50"/>
      <c r="V69" s="50"/>
      <c r="W69" s="50"/>
      <c r="X69" s="50"/>
      <c r="Y69" s="50"/>
      <c r="Z69" s="50"/>
    </row>
    <row r="70" spans="1:26" ht="15.75" customHeight="1" x14ac:dyDescent="0.35">
      <c r="A70" s="50"/>
      <c r="B70" s="190"/>
      <c r="C70" s="47"/>
      <c r="D70" s="248"/>
      <c r="E70" s="248"/>
      <c r="F70" s="248"/>
      <c r="G70" s="248"/>
      <c r="H70" s="248"/>
      <c r="I70" s="248"/>
      <c r="J70" s="248"/>
      <c r="K70" s="248"/>
      <c r="L70" s="248"/>
      <c r="M70" s="248"/>
      <c r="N70" s="248"/>
      <c r="O70" s="248"/>
      <c r="P70" s="248"/>
      <c r="Q70" s="50"/>
      <c r="R70" s="50"/>
      <c r="S70" s="50"/>
      <c r="T70" s="50"/>
      <c r="U70" s="50"/>
      <c r="V70" s="50"/>
      <c r="W70" s="50"/>
      <c r="X70" s="50"/>
      <c r="Y70" s="50"/>
      <c r="Z70" s="50"/>
    </row>
    <row r="71" spans="1:26" ht="15.75" customHeight="1" x14ac:dyDescent="0.35">
      <c r="A71" s="50"/>
      <c r="B71" s="190"/>
      <c r="C71" s="47"/>
      <c r="D71" s="248"/>
      <c r="E71" s="248"/>
      <c r="F71" s="248"/>
      <c r="G71" s="248"/>
      <c r="H71" s="248"/>
      <c r="I71" s="248"/>
      <c r="J71" s="248"/>
      <c r="K71" s="248"/>
      <c r="L71" s="248"/>
      <c r="M71" s="248"/>
      <c r="N71" s="248"/>
      <c r="O71" s="248"/>
      <c r="P71" s="248"/>
      <c r="Q71" s="50"/>
      <c r="R71" s="50"/>
      <c r="S71" s="50"/>
      <c r="T71" s="50"/>
      <c r="U71" s="50"/>
      <c r="V71" s="50"/>
      <c r="W71" s="50"/>
      <c r="X71" s="50"/>
      <c r="Y71" s="50"/>
      <c r="Z71" s="50"/>
    </row>
    <row r="72" spans="1:26" ht="15.75" customHeight="1" x14ac:dyDescent="0.35">
      <c r="A72" s="50"/>
      <c r="B72" s="190"/>
      <c r="C72" s="47"/>
      <c r="D72" s="248"/>
      <c r="E72" s="248"/>
      <c r="F72" s="248"/>
      <c r="G72" s="248"/>
      <c r="H72" s="248"/>
      <c r="I72" s="248"/>
      <c r="J72" s="248"/>
      <c r="K72" s="248"/>
      <c r="L72" s="248"/>
      <c r="M72" s="248"/>
      <c r="N72" s="248"/>
      <c r="O72" s="248"/>
      <c r="P72" s="248"/>
      <c r="Q72" s="50"/>
      <c r="R72" s="50"/>
      <c r="S72" s="50"/>
      <c r="T72" s="50"/>
      <c r="U72" s="50"/>
      <c r="V72" s="50"/>
      <c r="W72" s="50"/>
      <c r="X72" s="50"/>
      <c r="Y72" s="50"/>
      <c r="Z72" s="50"/>
    </row>
    <row r="73" spans="1:26" ht="15.75" customHeight="1" x14ac:dyDescent="0.35">
      <c r="A73" s="50"/>
      <c r="B73" s="190"/>
      <c r="C73" s="47"/>
      <c r="D73" s="248"/>
      <c r="E73" s="248"/>
      <c r="F73" s="248"/>
      <c r="G73" s="248"/>
      <c r="H73" s="248"/>
      <c r="I73" s="248"/>
      <c r="J73" s="248"/>
      <c r="K73" s="248"/>
      <c r="L73" s="248"/>
      <c r="M73" s="248"/>
      <c r="N73" s="248"/>
      <c r="O73" s="248"/>
      <c r="P73" s="248"/>
      <c r="Q73" s="50"/>
      <c r="R73" s="50"/>
      <c r="S73" s="50"/>
      <c r="T73" s="50"/>
      <c r="U73" s="50"/>
      <c r="V73" s="50"/>
      <c r="W73" s="50"/>
      <c r="X73" s="50"/>
      <c r="Y73" s="50"/>
      <c r="Z73" s="50"/>
    </row>
    <row r="74" spans="1:26" ht="15.75" customHeight="1" x14ac:dyDescent="0.35">
      <c r="A74" s="50"/>
      <c r="B74" s="190"/>
      <c r="C74" s="47"/>
      <c r="D74" s="248"/>
      <c r="E74" s="248"/>
      <c r="F74" s="248"/>
      <c r="G74" s="248"/>
      <c r="H74" s="248"/>
      <c r="I74" s="248"/>
      <c r="J74" s="248"/>
      <c r="K74" s="248"/>
      <c r="L74" s="248"/>
      <c r="M74" s="248"/>
      <c r="N74" s="248"/>
      <c r="O74" s="248"/>
      <c r="P74" s="248"/>
      <c r="Q74" s="50"/>
      <c r="R74" s="50"/>
      <c r="S74" s="50"/>
      <c r="T74" s="50"/>
      <c r="U74" s="50"/>
      <c r="V74" s="50"/>
      <c r="W74" s="50"/>
      <c r="X74" s="50"/>
      <c r="Y74" s="50"/>
      <c r="Z74" s="50"/>
    </row>
    <row r="75" spans="1:26" ht="15.75" customHeight="1" x14ac:dyDescent="0.35">
      <c r="A75" s="50"/>
      <c r="B75" s="190"/>
      <c r="C75" s="47"/>
      <c r="D75" s="248"/>
      <c r="E75" s="248"/>
      <c r="F75" s="248"/>
      <c r="G75" s="248"/>
      <c r="H75" s="248"/>
      <c r="I75" s="248"/>
      <c r="J75" s="248"/>
      <c r="K75" s="248"/>
      <c r="L75" s="248"/>
      <c r="M75" s="248"/>
      <c r="N75" s="248"/>
      <c r="O75" s="248"/>
      <c r="P75" s="248"/>
      <c r="Q75" s="50"/>
      <c r="R75" s="50"/>
      <c r="S75" s="50"/>
      <c r="T75" s="50"/>
      <c r="U75" s="50"/>
      <c r="V75" s="50"/>
      <c r="W75" s="50"/>
      <c r="X75" s="50"/>
      <c r="Y75" s="50"/>
      <c r="Z75" s="50"/>
    </row>
    <row r="76" spans="1:26" ht="15.75" customHeight="1" x14ac:dyDescent="0.35">
      <c r="A76" s="50"/>
      <c r="B76" s="190"/>
      <c r="C76" s="47"/>
      <c r="D76" s="248"/>
      <c r="E76" s="248"/>
      <c r="F76" s="248"/>
      <c r="G76" s="248"/>
      <c r="H76" s="248"/>
      <c r="I76" s="248"/>
      <c r="J76" s="248"/>
      <c r="K76" s="248"/>
      <c r="L76" s="248"/>
      <c r="M76" s="248"/>
      <c r="N76" s="248"/>
      <c r="O76" s="248"/>
      <c r="P76" s="248"/>
      <c r="Q76" s="50"/>
      <c r="R76" s="50"/>
      <c r="S76" s="50"/>
      <c r="T76" s="50"/>
      <c r="U76" s="50"/>
      <c r="V76" s="50"/>
      <c r="W76" s="50"/>
      <c r="X76" s="50"/>
      <c r="Y76" s="50"/>
      <c r="Z76" s="50"/>
    </row>
    <row r="77" spans="1:26" ht="15.75" customHeight="1" x14ac:dyDescent="0.35">
      <c r="A77" s="50"/>
      <c r="B77" s="338"/>
      <c r="C77" s="194"/>
      <c r="D77" s="245"/>
      <c r="E77" s="245"/>
      <c r="F77" s="245"/>
      <c r="G77" s="245"/>
      <c r="H77" s="245"/>
      <c r="I77" s="245"/>
      <c r="J77" s="245"/>
      <c r="K77" s="245"/>
      <c r="L77" s="245"/>
      <c r="M77" s="245"/>
      <c r="N77" s="245"/>
      <c r="O77" s="245"/>
      <c r="P77" s="245"/>
      <c r="Q77" s="50"/>
      <c r="R77" s="50"/>
      <c r="S77" s="50"/>
      <c r="T77" s="50"/>
      <c r="U77" s="50"/>
      <c r="V77" s="50"/>
      <c r="W77" s="50"/>
      <c r="X77" s="50"/>
      <c r="Y77" s="50"/>
      <c r="Z77" s="50"/>
    </row>
    <row r="78" spans="1:26" ht="15.75" customHeight="1" x14ac:dyDescent="0.35">
      <c r="A78" s="50"/>
      <c r="B78" s="190"/>
      <c r="C78" s="194"/>
      <c r="D78" s="80"/>
      <c r="E78" s="80"/>
      <c r="F78" s="80"/>
      <c r="G78" s="80"/>
      <c r="H78" s="80"/>
      <c r="I78" s="80"/>
      <c r="J78" s="80"/>
      <c r="K78" s="80"/>
      <c r="L78" s="80"/>
      <c r="M78" s="80"/>
      <c r="N78" s="80"/>
      <c r="O78" s="80"/>
      <c r="P78" s="80"/>
      <c r="Q78" s="50"/>
      <c r="R78" s="50"/>
      <c r="S78" s="50"/>
      <c r="T78" s="50"/>
      <c r="U78" s="50"/>
      <c r="V78" s="50"/>
      <c r="W78" s="50"/>
      <c r="X78" s="50"/>
      <c r="Y78" s="50"/>
      <c r="Z78" s="50"/>
    </row>
    <row r="79" spans="1:26" ht="15.75" customHeight="1" x14ac:dyDescent="0.35">
      <c r="A79" s="50"/>
      <c r="B79" s="190"/>
      <c r="C79" s="194"/>
      <c r="D79" s="80"/>
      <c r="E79" s="80"/>
      <c r="F79" s="80"/>
      <c r="G79" s="80"/>
      <c r="H79" s="80"/>
      <c r="I79" s="80"/>
      <c r="J79" s="80"/>
      <c r="K79" s="80"/>
      <c r="L79" s="80"/>
      <c r="M79" s="80"/>
      <c r="N79" s="80"/>
      <c r="O79" s="80"/>
      <c r="P79" s="80"/>
      <c r="Q79" s="50"/>
      <c r="R79" s="50"/>
      <c r="S79" s="50"/>
      <c r="T79" s="50"/>
      <c r="U79" s="50"/>
      <c r="V79" s="50"/>
      <c r="W79" s="50"/>
      <c r="X79" s="50"/>
      <c r="Y79" s="50"/>
      <c r="Z79" s="50"/>
    </row>
    <row r="80" spans="1:26" ht="15.75" customHeight="1" x14ac:dyDescent="0.35">
      <c r="A80" s="50"/>
      <c r="B80" s="190"/>
      <c r="C80" s="194"/>
      <c r="D80" s="80"/>
      <c r="E80" s="80"/>
      <c r="F80" s="80"/>
      <c r="G80" s="80"/>
      <c r="H80" s="80"/>
      <c r="I80" s="80"/>
      <c r="J80" s="80"/>
      <c r="K80" s="80"/>
      <c r="L80" s="80"/>
      <c r="M80" s="80"/>
      <c r="N80" s="80"/>
      <c r="O80" s="80"/>
      <c r="P80" s="80"/>
      <c r="Q80" s="50"/>
      <c r="R80" s="50"/>
      <c r="S80" s="50"/>
      <c r="T80" s="50"/>
      <c r="U80" s="50"/>
      <c r="V80" s="50"/>
      <c r="W80" s="50"/>
      <c r="X80" s="50"/>
      <c r="Y80" s="50"/>
      <c r="Z80" s="50"/>
    </row>
    <row r="81" spans="1:26" ht="15.75" customHeight="1" x14ac:dyDescent="0.35">
      <c r="A81" s="50"/>
      <c r="B81" s="190"/>
      <c r="C81" s="194"/>
      <c r="D81" s="80"/>
      <c r="E81" s="80"/>
      <c r="F81" s="80"/>
      <c r="G81" s="80"/>
      <c r="H81" s="80"/>
      <c r="I81" s="80"/>
      <c r="J81" s="80"/>
      <c r="K81" s="80"/>
      <c r="L81" s="80"/>
      <c r="M81" s="80"/>
      <c r="N81" s="80"/>
      <c r="O81" s="80"/>
      <c r="P81" s="80"/>
      <c r="Q81" s="50"/>
      <c r="R81" s="50"/>
      <c r="S81" s="50"/>
      <c r="T81" s="50"/>
      <c r="U81" s="50"/>
      <c r="V81" s="50"/>
      <c r="W81" s="50"/>
      <c r="X81" s="50"/>
      <c r="Y81" s="50"/>
      <c r="Z81" s="50"/>
    </row>
    <row r="82" spans="1:26" ht="15.75" customHeight="1" x14ac:dyDescent="0.35">
      <c r="A82" s="50"/>
      <c r="B82" s="190"/>
      <c r="C82" s="194"/>
      <c r="D82" s="80"/>
      <c r="E82" s="80"/>
      <c r="F82" s="80"/>
      <c r="G82" s="80"/>
      <c r="H82" s="80"/>
      <c r="I82" s="80"/>
      <c r="J82" s="80"/>
      <c r="K82" s="80"/>
      <c r="L82" s="80"/>
      <c r="M82" s="80"/>
      <c r="N82" s="80"/>
      <c r="O82" s="80"/>
      <c r="P82" s="80"/>
      <c r="Q82" s="50"/>
      <c r="R82" s="50"/>
      <c r="S82" s="50"/>
      <c r="T82" s="50"/>
      <c r="U82" s="50"/>
      <c r="V82" s="50"/>
      <c r="W82" s="50"/>
      <c r="X82" s="50"/>
      <c r="Y82" s="50"/>
      <c r="Z82" s="50"/>
    </row>
    <row r="83" spans="1:26" ht="15.75" customHeight="1" x14ac:dyDescent="0.35">
      <c r="A83" s="50"/>
      <c r="B83" s="190"/>
      <c r="C83" s="194"/>
      <c r="D83" s="80"/>
      <c r="E83" s="80"/>
      <c r="F83" s="80"/>
      <c r="G83" s="80"/>
      <c r="H83" s="80"/>
      <c r="I83" s="80"/>
      <c r="J83" s="80"/>
      <c r="K83" s="80"/>
      <c r="L83" s="80"/>
      <c r="M83" s="80"/>
      <c r="N83" s="80"/>
      <c r="O83" s="80"/>
      <c r="P83" s="80"/>
      <c r="Q83" s="50"/>
      <c r="R83" s="50"/>
      <c r="S83" s="50"/>
      <c r="T83" s="50"/>
      <c r="U83" s="50"/>
      <c r="V83" s="50"/>
      <c r="W83" s="50"/>
      <c r="X83" s="50"/>
      <c r="Y83" s="50"/>
      <c r="Z83" s="50"/>
    </row>
    <row r="84" spans="1:26" ht="15.75" customHeight="1" x14ac:dyDescent="0.35">
      <c r="A84" s="50"/>
      <c r="B84" s="50"/>
      <c r="C84" s="63"/>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x14ac:dyDescent="0.35">
      <c r="A85" s="50"/>
      <c r="B85" s="50"/>
      <c r="C85" s="63"/>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x14ac:dyDescent="0.35">
      <c r="A86" s="50"/>
      <c r="B86" s="50"/>
      <c r="C86" s="63"/>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x14ac:dyDescent="0.35">
      <c r="A87" s="50"/>
      <c r="B87" s="50"/>
      <c r="C87" s="63"/>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35">
      <c r="A88" s="50"/>
      <c r="B88" s="50"/>
      <c r="C88" s="63"/>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35">
      <c r="A89" s="50"/>
      <c r="B89" s="50"/>
      <c r="C89" s="63"/>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35">
      <c r="A90" s="50"/>
      <c r="B90" s="50"/>
      <c r="C90" s="63"/>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35">
      <c r="A91" s="50"/>
      <c r="B91" s="50"/>
      <c r="C91" s="63"/>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35">
      <c r="A92" s="50"/>
      <c r="B92" s="50"/>
      <c r="C92" s="63"/>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35">
      <c r="A93" s="50"/>
      <c r="B93" s="50"/>
      <c r="C93" s="63"/>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35">
      <c r="A94" s="50"/>
      <c r="B94" s="50"/>
      <c r="C94" s="63"/>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35">
      <c r="A95" s="50"/>
      <c r="B95" s="50"/>
      <c r="C95" s="63"/>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35">
      <c r="A96" s="50"/>
      <c r="B96" s="50"/>
      <c r="C96" s="63"/>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35">
      <c r="A97" s="50"/>
      <c r="B97" s="50"/>
      <c r="C97" s="63"/>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35">
      <c r="A98" s="50"/>
      <c r="B98" s="50"/>
      <c r="C98" s="63"/>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35">
      <c r="A99" s="50"/>
      <c r="B99" s="50"/>
      <c r="C99" s="63"/>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35">
      <c r="A100" s="50"/>
      <c r="B100" s="50"/>
      <c r="C100" s="63"/>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35">
      <c r="A101" s="50"/>
      <c r="B101" s="50"/>
      <c r="C101" s="63"/>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35">
      <c r="A102" s="50"/>
      <c r="B102" s="50"/>
      <c r="C102" s="63"/>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35">
      <c r="A103" s="50"/>
      <c r="B103" s="50"/>
      <c r="C103" s="63"/>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35">
      <c r="A104" s="50"/>
      <c r="B104" s="50"/>
      <c r="C104" s="63"/>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35">
      <c r="A105" s="50"/>
      <c r="B105" s="50"/>
      <c r="C105" s="63"/>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35">
      <c r="A106" s="50"/>
      <c r="B106" s="50"/>
      <c r="C106" s="63"/>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35">
      <c r="A107" s="50"/>
      <c r="B107" s="50"/>
      <c r="C107" s="63"/>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35">
      <c r="A108" s="50"/>
      <c r="B108" s="50"/>
      <c r="C108" s="63"/>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35">
      <c r="A109" s="50"/>
      <c r="B109" s="50"/>
      <c r="C109" s="63"/>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35">
      <c r="A110" s="50"/>
      <c r="B110" s="50"/>
      <c r="C110" s="63"/>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35">
      <c r="A111" s="50"/>
      <c r="B111" s="50"/>
      <c r="C111" s="63"/>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35">
      <c r="A112" s="50"/>
      <c r="B112" s="50"/>
      <c r="C112" s="63"/>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35">
      <c r="A113" s="50"/>
      <c r="B113" s="50"/>
      <c r="C113" s="63"/>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50"/>
      <c r="C114" s="63"/>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63"/>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63"/>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63"/>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63"/>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63"/>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63"/>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63"/>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63"/>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63"/>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63"/>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63"/>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63"/>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63"/>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63"/>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63"/>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63"/>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63"/>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63"/>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63"/>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63"/>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63"/>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63"/>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63"/>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63"/>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63"/>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63"/>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63"/>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63"/>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63"/>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63"/>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63"/>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63"/>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63"/>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63"/>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63"/>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63"/>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63"/>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63"/>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63"/>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63"/>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63"/>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63"/>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63"/>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63"/>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63"/>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63"/>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63"/>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63"/>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63"/>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63"/>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63"/>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63"/>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63"/>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63"/>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63"/>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63"/>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63"/>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63"/>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63"/>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63"/>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63"/>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63"/>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63"/>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63"/>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63"/>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63"/>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63"/>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63"/>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63"/>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63"/>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63"/>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63"/>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63"/>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63"/>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63"/>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63"/>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63"/>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308"/>
      <c r="B239" s="308"/>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spans="1:26" ht="15.75" customHeight="1" x14ac:dyDescent="0.35">
      <c r="A240" s="308"/>
      <c r="B240" s="308"/>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spans="1:26" ht="15.75" customHeight="1" x14ac:dyDescent="0.35">
      <c r="A241" s="308"/>
      <c r="B241" s="308"/>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spans="1:26" ht="15.75" customHeight="1" x14ac:dyDescent="0.35">
      <c r="A242" s="308"/>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spans="1:26" ht="15.75" customHeight="1" x14ac:dyDescent="0.35">
      <c r="A243" s="308"/>
      <c r="B243" s="308"/>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spans="1:26" ht="15.75" customHeight="1" x14ac:dyDescent="0.35">
      <c r="A244" s="308"/>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spans="1:26" ht="15.75" customHeight="1" x14ac:dyDescent="0.35">
      <c r="A245" s="308"/>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spans="1:26" ht="15.75" customHeight="1" x14ac:dyDescent="0.35">
      <c r="A246" s="308"/>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spans="1:26" ht="15.75" customHeight="1" x14ac:dyDescent="0.35">
      <c r="A247" s="308"/>
      <c r="B247" s="308"/>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spans="1:26" ht="15.75" customHeight="1" x14ac:dyDescent="0.35">
      <c r="A248" s="308"/>
      <c r="B248" s="308"/>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spans="1:26" ht="15.75" customHeight="1" x14ac:dyDescent="0.35">
      <c r="A249" s="308"/>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spans="1:26" ht="15.75" customHeight="1" x14ac:dyDescent="0.35">
      <c r="A250" s="308"/>
      <c r="B250" s="308"/>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spans="1:26" ht="15.75" customHeight="1" x14ac:dyDescent="0.35">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spans="1:26" ht="15.75" customHeight="1" x14ac:dyDescent="0.35">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spans="1:26" ht="15.75" customHeight="1" x14ac:dyDescent="0.35">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spans="1:26" ht="15.75" customHeight="1" x14ac:dyDescent="0.35">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spans="1:26" ht="15.75" customHeight="1" x14ac:dyDescent="0.35">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spans="1:26" ht="15.75" customHeight="1" x14ac:dyDescent="0.35">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spans="1:26" ht="15.75" customHeight="1" x14ac:dyDescent="0.35">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spans="1:26" ht="15.75" customHeight="1" x14ac:dyDescent="0.35">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spans="1:26" ht="15.75" customHeight="1" x14ac:dyDescent="0.35">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spans="1:26" ht="15.75" customHeight="1" x14ac:dyDescent="0.35">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spans="1:26" ht="15.75" customHeight="1" x14ac:dyDescent="0.35">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spans="1:26" ht="15.75" customHeight="1" x14ac:dyDescent="0.35">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spans="1:26" ht="15.75" customHeight="1" x14ac:dyDescent="0.35">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spans="1:26" ht="15.75" customHeight="1" x14ac:dyDescent="0.35">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spans="1:26" ht="15.75" customHeight="1" x14ac:dyDescent="0.35">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spans="1:26" ht="15.75" customHeight="1" x14ac:dyDescent="0.35">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spans="1:26" ht="15.75" customHeight="1" x14ac:dyDescent="0.35">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spans="1:26" ht="15.75" customHeight="1" x14ac:dyDescent="0.35">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spans="1:26" ht="15.75" customHeight="1" x14ac:dyDescent="0.35">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spans="1:26" ht="15.75" customHeight="1" x14ac:dyDescent="0.35">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spans="1:26" ht="15.75" customHeight="1" x14ac:dyDescent="0.35">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spans="1:26" ht="15.75" customHeight="1" x14ac:dyDescent="0.35">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spans="1:26" ht="15.75" customHeight="1" x14ac:dyDescent="0.35">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spans="1:26" ht="15.75" customHeight="1" x14ac:dyDescent="0.35">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spans="1:26" ht="15.75" customHeight="1" x14ac:dyDescent="0.35">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spans="1:26" ht="15.75" customHeight="1" x14ac:dyDescent="0.35">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spans="1:26" ht="15.75" customHeight="1" x14ac:dyDescent="0.35">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spans="1:26" ht="15.75" customHeight="1" x14ac:dyDescent="0.35">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spans="1:26" ht="15.75" customHeight="1" x14ac:dyDescent="0.35">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spans="1:26" ht="15.75" customHeight="1" x14ac:dyDescent="0.35">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spans="1:26" ht="15.75" customHeight="1" x14ac:dyDescent="0.35">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spans="1:26" ht="15.75" customHeight="1" x14ac:dyDescent="0.35">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spans="1:26" ht="15.75" customHeight="1" x14ac:dyDescent="0.35">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spans="1:26" ht="15.75" customHeight="1" x14ac:dyDescent="0.35">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spans="1:26" ht="15.75" customHeight="1" x14ac:dyDescent="0.35">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spans="1:26" ht="15.75" customHeight="1" x14ac:dyDescent="0.35">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spans="1:26" ht="15.75" customHeight="1" x14ac:dyDescent="0.35">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spans="1:26" ht="15.75" customHeight="1" x14ac:dyDescent="0.35">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spans="1:26" ht="15.75" customHeight="1" x14ac:dyDescent="0.35">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spans="1:26" ht="15.75" customHeight="1" x14ac:dyDescent="0.35">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spans="1:26" ht="15.75" customHeight="1" x14ac:dyDescent="0.35">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spans="1:26" ht="15.75" customHeight="1" x14ac:dyDescent="0.35">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spans="1:26" ht="15.75" customHeight="1" x14ac:dyDescent="0.35">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spans="1:26" ht="15.75" customHeight="1" x14ac:dyDescent="0.35">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spans="1:26" ht="15.75" customHeight="1" x14ac:dyDescent="0.35">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spans="1:26" ht="15.75" customHeight="1" x14ac:dyDescent="0.35">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spans="1:26" ht="15.75" customHeight="1" x14ac:dyDescent="0.35">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spans="1:26" ht="15.75" customHeight="1" x14ac:dyDescent="0.35">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spans="1:26" ht="15.75" customHeight="1" x14ac:dyDescent="0.35">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spans="1:26" ht="15.75" customHeight="1" x14ac:dyDescent="0.35">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spans="1:26" ht="15.75" customHeight="1" x14ac:dyDescent="0.35">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spans="1:26" ht="15.75" customHeight="1" x14ac:dyDescent="0.35">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spans="1:26" ht="15.75" customHeight="1" x14ac:dyDescent="0.35">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spans="1:26" ht="15.75" customHeight="1" x14ac:dyDescent="0.35">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spans="1:26" ht="15.75" customHeight="1" x14ac:dyDescent="0.35">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spans="1:26" ht="15.75" customHeight="1" x14ac:dyDescent="0.35">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spans="1:26" ht="15.75" customHeight="1" x14ac:dyDescent="0.35">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spans="1:26" ht="15.75" customHeight="1" x14ac:dyDescent="0.35">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spans="1:26" ht="15.75" customHeight="1" x14ac:dyDescent="0.35">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spans="1:26" ht="15.75" customHeight="1" x14ac:dyDescent="0.35">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spans="1:26" ht="15.75" customHeight="1" x14ac:dyDescent="0.35">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spans="1:26" ht="15.75" customHeight="1" x14ac:dyDescent="0.35">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spans="1:26" ht="15.75" customHeight="1" x14ac:dyDescent="0.35">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spans="1:26" ht="15.75" customHeight="1" x14ac:dyDescent="0.35">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spans="1:26" ht="15.75" customHeight="1" x14ac:dyDescent="0.35">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spans="1:26" ht="15.75" customHeight="1" x14ac:dyDescent="0.35">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spans="1:26" ht="15.75" customHeight="1" x14ac:dyDescent="0.35">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spans="1:26" ht="15.75" customHeight="1" x14ac:dyDescent="0.35">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spans="1:26" ht="15.75" customHeight="1" x14ac:dyDescent="0.35">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spans="1:26" ht="15.75" customHeight="1" x14ac:dyDescent="0.35">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spans="1:26" ht="15.75" customHeight="1" x14ac:dyDescent="0.35">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spans="1:26" ht="15.75" customHeight="1" x14ac:dyDescent="0.35">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spans="1:26" ht="15.75" customHeight="1" x14ac:dyDescent="0.35">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spans="1:26" ht="15.75" customHeight="1" x14ac:dyDescent="0.35">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spans="1:26" ht="15.75" customHeight="1" x14ac:dyDescent="0.35">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spans="1:26" ht="15.75" customHeight="1" x14ac:dyDescent="0.35">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spans="1:26" ht="15.75" customHeight="1" x14ac:dyDescent="0.35">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spans="1:26" ht="15.75" customHeight="1" x14ac:dyDescent="0.35">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spans="1:26" ht="15.75" customHeight="1" x14ac:dyDescent="0.35">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spans="1:26" ht="15.75" customHeight="1" x14ac:dyDescent="0.35">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spans="1:26" ht="15.75" customHeight="1" x14ac:dyDescent="0.35">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spans="1:26" ht="15.75" customHeight="1" x14ac:dyDescent="0.35">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spans="1:26" ht="15.75" customHeight="1" x14ac:dyDescent="0.35">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spans="1:26" ht="15.75" customHeight="1" x14ac:dyDescent="0.35">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spans="1:26" ht="15.75" customHeight="1" x14ac:dyDescent="0.35">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spans="1:26" ht="15.75" customHeight="1" x14ac:dyDescent="0.35">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spans="1:26" ht="15.75" customHeight="1" x14ac:dyDescent="0.35">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spans="1:26" ht="15.75" customHeight="1" x14ac:dyDescent="0.35">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spans="1:26" ht="15.75" customHeight="1" x14ac:dyDescent="0.35">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spans="1:26" ht="15.75" customHeight="1" x14ac:dyDescent="0.35">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spans="1:26" ht="15.75" customHeight="1" x14ac:dyDescent="0.35">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spans="1:26" ht="15.75" customHeight="1" x14ac:dyDescent="0.35">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spans="1:26" ht="15.75" customHeight="1" x14ac:dyDescent="0.35">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spans="1:26" ht="15.75" customHeight="1" x14ac:dyDescent="0.35">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spans="1:26" ht="15.75" customHeight="1" x14ac:dyDescent="0.35">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spans="1:26" ht="15.75" customHeight="1" x14ac:dyDescent="0.35">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spans="1:26" ht="15.75" customHeight="1" x14ac:dyDescent="0.35">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spans="1:26" ht="15.75" customHeight="1" x14ac:dyDescent="0.35">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spans="1:26" ht="15.75" customHeight="1" x14ac:dyDescent="0.35">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spans="1:26" ht="15.75" customHeight="1" x14ac:dyDescent="0.35">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spans="1:26" ht="15.75" customHeight="1" x14ac:dyDescent="0.35">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spans="1:26" ht="15.75" customHeight="1" x14ac:dyDescent="0.35">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spans="1:26" ht="15.75" customHeight="1" x14ac:dyDescent="0.35">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spans="1:26" ht="15.75" customHeight="1" x14ac:dyDescent="0.35">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spans="1:26" ht="15.75" customHeight="1" x14ac:dyDescent="0.35">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spans="1:26" ht="15.75" customHeight="1" x14ac:dyDescent="0.35">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spans="1:26" ht="15.75" customHeight="1" x14ac:dyDescent="0.35">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spans="1:26" ht="15.75" customHeight="1" x14ac:dyDescent="0.35">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spans="1:26" ht="15.75" customHeight="1" x14ac:dyDescent="0.35">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spans="1:26" ht="15.75" customHeight="1" x14ac:dyDescent="0.35">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spans="1:26" ht="15.75" customHeight="1" x14ac:dyDescent="0.35">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spans="1:26" ht="15.75" customHeight="1" x14ac:dyDescent="0.35">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spans="1:26" ht="15.75" customHeight="1" x14ac:dyDescent="0.35">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spans="1:26" ht="15.75" customHeight="1" x14ac:dyDescent="0.35">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spans="1:26" ht="15.75" customHeight="1" x14ac:dyDescent="0.35">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spans="1:26" ht="15.75" customHeight="1" x14ac:dyDescent="0.35">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spans="1:26" ht="15.75" customHeight="1" x14ac:dyDescent="0.35">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spans="1:26" ht="15.75" customHeight="1" x14ac:dyDescent="0.35">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spans="1:26" ht="15.75" customHeight="1" x14ac:dyDescent="0.35">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spans="1:26" ht="15.75" customHeight="1" x14ac:dyDescent="0.35">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spans="1:26" ht="15.75" customHeight="1" x14ac:dyDescent="0.35">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spans="1:26" ht="15.75" customHeight="1" x14ac:dyDescent="0.35">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spans="1:26" ht="15.75" customHeight="1" x14ac:dyDescent="0.35">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spans="1:26" ht="15.75" customHeight="1" x14ac:dyDescent="0.35">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spans="1:26" ht="15.75" customHeight="1" x14ac:dyDescent="0.35">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spans="1:26" ht="15.75" customHeight="1" x14ac:dyDescent="0.35">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spans="1:26" ht="15.75" customHeight="1" x14ac:dyDescent="0.35">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spans="1:26" ht="15.75" customHeight="1" x14ac:dyDescent="0.35">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spans="1:26" ht="15.75" customHeight="1" x14ac:dyDescent="0.35">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spans="1:26" ht="15.75" customHeight="1" x14ac:dyDescent="0.35">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spans="1:26" ht="15.75" customHeight="1" x14ac:dyDescent="0.35">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spans="1:26" ht="15.75" customHeight="1" x14ac:dyDescent="0.35">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spans="1:26" ht="15.75" customHeight="1" x14ac:dyDescent="0.35">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spans="1:26" ht="15.75" customHeight="1" x14ac:dyDescent="0.35">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spans="1:26" ht="15.75" customHeight="1" x14ac:dyDescent="0.35">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spans="1:26" ht="15.75" customHeight="1" x14ac:dyDescent="0.35">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spans="1:26" ht="15.75" customHeight="1" x14ac:dyDescent="0.35">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spans="1:26" ht="15.75" customHeight="1" x14ac:dyDescent="0.35">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spans="1:26" ht="15.75" customHeight="1" x14ac:dyDescent="0.35">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spans="1:26" ht="15.75" customHeight="1" x14ac:dyDescent="0.35">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spans="1:26" ht="15.75" customHeight="1" x14ac:dyDescent="0.35">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spans="1:26" ht="15.75" customHeight="1" x14ac:dyDescent="0.35">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spans="1:26" ht="15.75" customHeight="1" x14ac:dyDescent="0.35">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spans="1:26" ht="15.75" customHeight="1" x14ac:dyDescent="0.35">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spans="1:26" ht="15.75" customHeight="1" x14ac:dyDescent="0.35">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spans="1:26" ht="15.75" customHeight="1" x14ac:dyDescent="0.35">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spans="1:26" ht="15.75" customHeight="1" x14ac:dyDescent="0.35">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spans="1:26" ht="15.75" customHeight="1" x14ac:dyDescent="0.35">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spans="1:26" ht="15.75" customHeight="1" x14ac:dyDescent="0.35">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spans="1:26" ht="15.75" customHeight="1" x14ac:dyDescent="0.35">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spans="1:26" ht="15.75" customHeight="1" x14ac:dyDescent="0.35">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spans="1:26" ht="15.75" customHeight="1" x14ac:dyDescent="0.35">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spans="1:26" ht="15.75" customHeight="1" x14ac:dyDescent="0.35">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spans="1:26" ht="15.75" customHeight="1" x14ac:dyDescent="0.35">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spans="1:26" ht="15.75" customHeight="1" x14ac:dyDescent="0.35">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spans="1:26" ht="15.75" customHeight="1" x14ac:dyDescent="0.35">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spans="1:26" ht="15.75" customHeight="1" x14ac:dyDescent="0.35">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spans="1:26" ht="15.75" customHeight="1" x14ac:dyDescent="0.35">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spans="1:26" ht="15.75" customHeight="1" x14ac:dyDescent="0.35">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spans="1:26" ht="15.75" customHeight="1" x14ac:dyDescent="0.35">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spans="1:26" ht="15.75" customHeight="1" x14ac:dyDescent="0.35">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spans="1:26" ht="15.75" customHeight="1" x14ac:dyDescent="0.35">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spans="1:26" ht="15.75" customHeight="1" x14ac:dyDescent="0.35">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spans="1:26" ht="15.75" customHeight="1" x14ac:dyDescent="0.35">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spans="1:26" ht="15.75" customHeight="1" x14ac:dyDescent="0.35">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spans="1:26" ht="15.75" customHeight="1" x14ac:dyDescent="0.35">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spans="1:26" ht="15.75" customHeight="1" x14ac:dyDescent="0.35">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spans="1:26" ht="15.75" customHeight="1" x14ac:dyDescent="0.35">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spans="1:26" ht="15.75" customHeight="1" x14ac:dyDescent="0.35">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spans="1:26" ht="15.75" customHeight="1" x14ac:dyDescent="0.35">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spans="1:26" ht="15.75" customHeight="1" x14ac:dyDescent="0.35">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spans="1:26" ht="15.75" customHeight="1" x14ac:dyDescent="0.35">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spans="1:26" ht="15.75" customHeight="1" x14ac:dyDescent="0.35">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spans="1:26" ht="15.75" customHeight="1" x14ac:dyDescent="0.35">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spans="1:26" ht="15.75" customHeight="1" x14ac:dyDescent="0.35">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spans="1:26" ht="15.75" customHeight="1" x14ac:dyDescent="0.35">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spans="1:26" ht="15.75" customHeight="1" x14ac:dyDescent="0.35">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spans="1:26" ht="15.75" customHeight="1" x14ac:dyDescent="0.35">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spans="1:26" ht="15.75" customHeight="1" x14ac:dyDescent="0.35">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spans="1:26" ht="15.75" customHeight="1" x14ac:dyDescent="0.35">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spans="1:26" ht="15.75" customHeight="1" x14ac:dyDescent="0.35">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spans="1:26" ht="15.75" customHeight="1" x14ac:dyDescent="0.35">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spans="1:26" ht="15.75" customHeight="1" x14ac:dyDescent="0.35">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spans="1:26" ht="15.75" customHeight="1" x14ac:dyDescent="0.35">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spans="1:26" ht="15.75" customHeight="1" x14ac:dyDescent="0.35">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spans="1:26" ht="15.75" customHeight="1" x14ac:dyDescent="0.35">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spans="1:26" ht="15.75" customHeight="1" x14ac:dyDescent="0.35">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spans="1:26" ht="15.75" customHeight="1" x14ac:dyDescent="0.35">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spans="1:26" ht="15.75" customHeight="1" x14ac:dyDescent="0.35">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spans="1:26" ht="15.75" customHeight="1" x14ac:dyDescent="0.35">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spans="1:26" ht="15.75" customHeight="1" x14ac:dyDescent="0.35">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spans="1:26" ht="15.75" customHeight="1" x14ac:dyDescent="0.35">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spans="1:26" ht="15.75" customHeight="1" x14ac:dyDescent="0.35">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spans="1:26" ht="15.75" customHeight="1" x14ac:dyDescent="0.35">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spans="1:26" ht="15.75" customHeight="1" x14ac:dyDescent="0.35">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spans="1:26" ht="15.75" customHeight="1" x14ac:dyDescent="0.35">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spans="1:26" ht="15.75" customHeight="1" x14ac:dyDescent="0.35">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spans="1:26" ht="15.75" customHeight="1" x14ac:dyDescent="0.35">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spans="1:26" ht="15.75" customHeight="1" x14ac:dyDescent="0.35">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spans="1:26" ht="15.75" customHeight="1" x14ac:dyDescent="0.35">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spans="1:26" ht="15.75" customHeight="1" x14ac:dyDescent="0.35">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spans="1:26" ht="15.75" customHeight="1" x14ac:dyDescent="0.35">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spans="1:26" ht="15.75" customHeight="1" x14ac:dyDescent="0.35">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spans="1:26" ht="15.75" customHeight="1" x14ac:dyDescent="0.35">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spans="1:26" ht="15.75" customHeight="1" x14ac:dyDescent="0.35">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spans="1:26" ht="15.75" customHeight="1" x14ac:dyDescent="0.35">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spans="1:26" ht="15.75" customHeight="1" x14ac:dyDescent="0.35">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spans="1:26" ht="15.75" customHeight="1" x14ac:dyDescent="0.35">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spans="1:26" ht="15.75" customHeight="1" x14ac:dyDescent="0.35">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spans="1:26" ht="15.75" customHeight="1" x14ac:dyDescent="0.35">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spans="1:26" ht="15.75" customHeight="1" x14ac:dyDescent="0.35">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spans="1:26" ht="15.75" customHeight="1" x14ac:dyDescent="0.35">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spans="1:26" ht="15.75" customHeight="1" x14ac:dyDescent="0.35">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spans="1:26" ht="15.75" customHeight="1" x14ac:dyDescent="0.35">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spans="1:26" ht="15.75" customHeight="1" x14ac:dyDescent="0.35">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spans="1:26" ht="15.75" customHeight="1" x14ac:dyDescent="0.35">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spans="1:26" ht="15.75" customHeight="1" x14ac:dyDescent="0.35">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spans="1:26" ht="15.75" customHeight="1" x14ac:dyDescent="0.35">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spans="1:26" ht="15.75" customHeight="1" x14ac:dyDescent="0.35">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spans="1:26" ht="15.75" customHeight="1" x14ac:dyDescent="0.35">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spans="1:26" ht="15.75" customHeight="1" x14ac:dyDescent="0.35">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spans="1:26" ht="15.75" customHeight="1" x14ac:dyDescent="0.35">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spans="1:26" ht="15.75" customHeight="1" x14ac:dyDescent="0.35">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spans="1:26" ht="15.75" customHeight="1" x14ac:dyDescent="0.35">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spans="1:26" ht="15.75" customHeight="1" x14ac:dyDescent="0.35">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spans="1:26" ht="15.75" customHeight="1" x14ac:dyDescent="0.35">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spans="1:26" ht="15.75" customHeight="1" x14ac:dyDescent="0.35">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spans="1:26" ht="15.75" customHeight="1" x14ac:dyDescent="0.35">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spans="1:26" ht="15.75" customHeight="1" x14ac:dyDescent="0.35">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spans="1:26" ht="15.75" customHeight="1" x14ac:dyDescent="0.35">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spans="1:26" ht="15.75" customHeight="1" x14ac:dyDescent="0.35">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spans="1:26" ht="15.75" customHeight="1" x14ac:dyDescent="0.35">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spans="1:26" ht="15.75" customHeight="1" x14ac:dyDescent="0.35">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spans="1:26" ht="15.75" customHeight="1" x14ac:dyDescent="0.35">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spans="1:26" ht="15.75" customHeight="1" x14ac:dyDescent="0.35">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spans="1:26" ht="15.75" customHeight="1" x14ac:dyDescent="0.35">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spans="1:26" ht="15.75" customHeight="1" x14ac:dyDescent="0.35">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spans="1:26" ht="15.75" customHeight="1" x14ac:dyDescent="0.35">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spans="1:26" ht="15.75" customHeight="1" x14ac:dyDescent="0.35">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spans="1:26" ht="15.75" customHeight="1" x14ac:dyDescent="0.35">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spans="1:26" ht="15.75" customHeight="1" x14ac:dyDescent="0.35">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spans="1:26" ht="15.75" customHeight="1" x14ac:dyDescent="0.35">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spans="1:26" ht="15.75" customHeight="1" x14ac:dyDescent="0.35">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spans="1:26" ht="15.75" customHeight="1" x14ac:dyDescent="0.35">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spans="1:26" ht="15.75" customHeight="1" x14ac:dyDescent="0.35">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spans="1:26" ht="15.75" customHeight="1" x14ac:dyDescent="0.35">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spans="1:26" ht="15.75" customHeight="1" x14ac:dyDescent="0.35">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spans="1:26" ht="15.75" customHeight="1" x14ac:dyDescent="0.35">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spans="1:26" ht="15.75" customHeight="1" x14ac:dyDescent="0.35">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spans="1:26" ht="15.75" customHeight="1" x14ac:dyDescent="0.35">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spans="1:26" ht="15.75" customHeight="1" x14ac:dyDescent="0.35">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spans="1:26" ht="15.75" customHeight="1" x14ac:dyDescent="0.35">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spans="1:26" ht="15.75" customHeight="1" x14ac:dyDescent="0.35">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spans="1:26" ht="15.75" customHeight="1" x14ac:dyDescent="0.35">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spans="1:26" ht="15.75" customHeight="1" x14ac:dyDescent="0.35">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spans="1:26" ht="15.75" customHeight="1" x14ac:dyDescent="0.35">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spans="1:26" ht="15.75" customHeight="1" x14ac:dyDescent="0.35">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spans="1:26" ht="15.75" customHeight="1" x14ac:dyDescent="0.35">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spans="1:26" ht="15.75" customHeight="1" x14ac:dyDescent="0.35">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spans="1:26" ht="15.75" customHeight="1" x14ac:dyDescent="0.35">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spans="1:26" ht="15.75" customHeight="1" x14ac:dyDescent="0.35">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spans="1:26" ht="15.75" customHeight="1" x14ac:dyDescent="0.35">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spans="1:26" ht="15.75" customHeight="1" x14ac:dyDescent="0.35">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spans="1:26" ht="15.75" customHeight="1" x14ac:dyDescent="0.35">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spans="1:26" ht="15.75" customHeight="1" x14ac:dyDescent="0.35">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spans="1:26" ht="15.75" customHeight="1" x14ac:dyDescent="0.35">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spans="1:26" ht="15.75" customHeight="1" x14ac:dyDescent="0.35">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spans="1:26" ht="15.75" customHeight="1" x14ac:dyDescent="0.35">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spans="1:26" ht="15.75" customHeight="1" x14ac:dyDescent="0.35">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spans="1:26" ht="15.75" customHeight="1" x14ac:dyDescent="0.35">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spans="1:26" ht="15.75" customHeight="1" x14ac:dyDescent="0.35">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spans="1:26" ht="15.75" customHeight="1" x14ac:dyDescent="0.35">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spans="1:26" ht="15.75" customHeight="1" x14ac:dyDescent="0.35">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spans="1:26" ht="15.75" customHeight="1" x14ac:dyDescent="0.35">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spans="1:26" ht="15.75" customHeight="1" x14ac:dyDescent="0.35">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spans="1:26" ht="15.75" customHeight="1" x14ac:dyDescent="0.35">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spans="1:26" ht="15.75" customHeight="1" x14ac:dyDescent="0.35">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spans="1:26" ht="15.75" customHeight="1" x14ac:dyDescent="0.35">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spans="1:26" ht="15.75" customHeight="1" x14ac:dyDescent="0.35">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spans="1:26" ht="15.75" customHeight="1" x14ac:dyDescent="0.35">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spans="1:26" ht="15.75" customHeight="1" x14ac:dyDescent="0.35">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spans="1:26" ht="15.75" customHeight="1" x14ac:dyDescent="0.35">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spans="1:26" ht="15.75" customHeight="1" x14ac:dyDescent="0.35">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spans="1:26" ht="15.75" customHeight="1" x14ac:dyDescent="0.35">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spans="1:26" ht="15.75" customHeight="1" x14ac:dyDescent="0.35">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spans="1:26" ht="15.75" customHeight="1" x14ac:dyDescent="0.35">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spans="1:26" ht="15.75" customHeight="1" x14ac:dyDescent="0.35">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spans="1:26" ht="15.75" customHeight="1" x14ac:dyDescent="0.35">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spans="1:26" ht="15.75" customHeight="1" x14ac:dyDescent="0.35">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spans="1:26" ht="15.75" customHeight="1" x14ac:dyDescent="0.35">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spans="1:26" ht="15.75" customHeight="1" x14ac:dyDescent="0.35">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spans="1:26" ht="15.75" customHeight="1" x14ac:dyDescent="0.35">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spans="1:26" ht="15.75" customHeight="1" x14ac:dyDescent="0.35">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spans="1:26" ht="15.75" customHeight="1" x14ac:dyDescent="0.35">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spans="1:26" ht="15.75" customHeight="1" x14ac:dyDescent="0.35">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spans="1:26" ht="15.75" customHeight="1" x14ac:dyDescent="0.35">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spans="1:26" ht="15.75" customHeight="1" x14ac:dyDescent="0.35">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spans="1:26" ht="15.75" customHeight="1" x14ac:dyDescent="0.35">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spans="1:26" ht="15.75" customHeight="1" x14ac:dyDescent="0.35">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spans="1:26" ht="15.75" customHeight="1" x14ac:dyDescent="0.35">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spans="1:26" ht="15.75" customHeight="1" x14ac:dyDescent="0.35">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spans="1:26" ht="15.75" customHeight="1" x14ac:dyDescent="0.35">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spans="1:26" ht="15.75" customHeight="1" x14ac:dyDescent="0.35">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spans="1:26" ht="15.75" customHeight="1" x14ac:dyDescent="0.35">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spans="1:26" ht="15.75" customHeight="1" x14ac:dyDescent="0.35">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spans="1:26" ht="15.75" customHeight="1" x14ac:dyDescent="0.35">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spans="1:26" ht="15.75" customHeight="1" x14ac:dyDescent="0.35">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spans="1:26" ht="15.75" customHeight="1" x14ac:dyDescent="0.35">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spans="1:26" ht="15.75" customHeight="1" x14ac:dyDescent="0.35">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spans="1:26" ht="15.75" customHeight="1" x14ac:dyDescent="0.35">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spans="1:26" ht="15.75" customHeight="1" x14ac:dyDescent="0.35">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spans="1:26" ht="15.75" customHeight="1" x14ac:dyDescent="0.35">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spans="1:26" ht="15.75" customHeight="1" x14ac:dyDescent="0.35">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spans="1:26" ht="15.75" customHeight="1" x14ac:dyDescent="0.35">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spans="1:26" ht="15.75" customHeight="1" x14ac:dyDescent="0.35">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spans="1:26" ht="15.75" customHeight="1" x14ac:dyDescent="0.35">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spans="1:26" ht="15.75" customHeight="1" x14ac:dyDescent="0.35">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spans="1:26" ht="15.75" customHeight="1" x14ac:dyDescent="0.35">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spans="1:26" ht="15.75" customHeight="1" x14ac:dyDescent="0.35">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spans="1:26" ht="15.75" customHeight="1" x14ac:dyDescent="0.35">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spans="1:26" ht="15.75" customHeight="1" x14ac:dyDescent="0.35">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spans="1:26" ht="15.75" customHeight="1" x14ac:dyDescent="0.35">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spans="1:26" ht="15.75" customHeight="1" x14ac:dyDescent="0.35">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spans="1:26" ht="15.75" customHeight="1" x14ac:dyDescent="0.35">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spans="1:26" ht="15.75" customHeight="1" x14ac:dyDescent="0.35">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spans="1:26" ht="15.75" customHeight="1" x14ac:dyDescent="0.35">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spans="1:26" ht="15.75" customHeight="1" x14ac:dyDescent="0.35">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spans="1:26" ht="15.75" customHeight="1" x14ac:dyDescent="0.35">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spans="1:26" ht="15.75" customHeight="1" x14ac:dyDescent="0.35">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spans="1:26" ht="15.75" customHeight="1" x14ac:dyDescent="0.35">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spans="1:26" ht="15.75" customHeight="1" x14ac:dyDescent="0.35">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spans="1:26" ht="15.75" customHeight="1" x14ac:dyDescent="0.35">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spans="1:26" ht="15.75" customHeight="1" x14ac:dyDescent="0.35">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spans="1:26" ht="15.75" customHeight="1" x14ac:dyDescent="0.35">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spans="1:26" ht="15.75" customHeight="1" x14ac:dyDescent="0.35">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spans="1:26" ht="15.75" customHeight="1" x14ac:dyDescent="0.35">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spans="1:26" ht="15.75" customHeight="1" x14ac:dyDescent="0.35">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spans="1:26" ht="15.75" customHeight="1" x14ac:dyDescent="0.35">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spans="1:26" ht="15.75" customHeight="1" x14ac:dyDescent="0.35">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spans="1:26" ht="15.75" customHeight="1" x14ac:dyDescent="0.35">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spans="1:26" ht="15.75" customHeight="1" x14ac:dyDescent="0.35">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spans="1:26" ht="15.75" customHeight="1" x14ac:dyDescent="0.35">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spans="1:26" ht="15.75" customHeight="1" x14ac:dyDescent="0.35">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spans="1:26" ht="15.75" customHeight="1" x14ac:dyDescent="0.35">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spans="1:26" ht="15.75" customHeight="1" x14ac:dyDescent="0.35">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spans="1:26" ht="15.75" customHeight="1" x14ac:dyDescent="0.35">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spans="1:26" ht="15.75" customHeight="1" x14ac:dyDescent="0.35">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spans="1:26" ht="15.75" customHeight="1" x14ac:dyDescent="0.35">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spans="1:26" ht="15.75" customHeight="1" x14ac:dyDescent="0.35">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spans="1:26" ht="15.75" customHeight="1" x14ac:dyDescent="0.35">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spans="1:26" ht="15.75" customHeight="1" x14ac:dyDescent="0.35">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spans="1:26" ht="15.75" customHeight="1" x14ac:dyDescent="0.35">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spans="1:26" ht="15.75" customHeight="1" x14ac:dyDescent="0.35">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spans="1:26" ht="15.75" customHeight="1" x14ac:dyDescent="0.35">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spans="1:26" ht="15.75" customHeight="1" x14ac:dyDescent="0.35">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spans="1:26" ht="15.75" customHeight="1" x14ac:dyDescent="0.35">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spans="1:26" ht="15.75" customHeight="1" x14ac:dyDescent="0.35">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spans="1:26" ht="15.75" customHeight="1" x14ac:dyDescent="0.35">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spans="1:26" ht="15.75" customHeight="1" x14ac:dyDescent="0.35">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spans="1:26" ht="15.75" customHeight="1" x14ac:dyDescent="0.35">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spans="1:26" ht="15.75" customHeight="1" x14ac:dyDescent="0.35">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spans="1:26" ht="15.75" customHeight="1" x14ac:dyDescent="0.35">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spans="1:26" ht="15.75" customHeight="1" x14ac:dyDescent="0.35">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spans="1:26" ht="15.75" customHeight="1" x14ac:dyDescent="0.35">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spans="1:26" ht="15.75" customHeight="1" x14ac:dyDescent="0.35">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spans="1:26" ht="15.75" customHeight="1" x14ac:dyDescent="0.35">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spans="1:26" ht="15.75" customHeight="1" x14ac:dyDescent="0.35">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spans="1:26" ht="15.75" customHeight="1" x14ac:dyDescent="0.35">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spans="1:26" ht="15.75" customHeight="1" x14ac:dyDescent="0.35">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spans="1:26" ht="15.75" customHeight="1" x14ac:dyDescent="0.35">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spans="1:26" ht="15.75" customHeight="1" x14ac:dyDescent="0.35">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spans="1:26" ht="15.75" customHeight="1" x14ac:dyDescent="0.35">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spans="1:26" ht="15.75" customHeight="1" x14ac:dyDescent="0.35">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spans="1:26" ht="15.75" customHeight="1" x14ac:dyDescent="0.35">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spans="1:26" ht="15.75" customHeight="1" x14ac:dyDescent="0.35">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spans="1:26" ht="15.75" customHeight="1" x14ac:dyDescent="0.35">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spans="1:26" ht="15.75" customHeight="1" x14ac:dyDescent="0.35">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spans="1:26" ht="15.75" customHeight="1" x14ac:dyDescent="0.35">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spans="1:26" ht="15.75" customHeight="1" x14ac:dyDescent="0.35">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spans="1:26" ht="15.75" customHeight="1" x14ac:dyDescent="0.35">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spans="1:26" ht="15.75" customHeight="1" x14ac:dyDescent="0.35">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spans="1:26" ht="15.75" customHeight="1" x14ac:dyDescent="0.35">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spans="1:26" ht="15.75" customHeight="1" x14ac:dyDescent="0.35">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spans="1:26" ht="15.75" customHeight="1" x14ac:dyDescent="0.35">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spans="1:26" ht="15.75" customHeight="1" x14ac:dyDescent="0.35">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spans="1:26" ht="15.75" customHeight="1" x14ac:dyDescent="0.35">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spans="1:26" ht="15.75" customHeight="1" x14ac:dyDescent="0.35">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spans="1:26" ht="15.75" customHeight="1" x14ac:dyDescent="0.35">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spans="1:26" ht="15.75" customHeight="1" x14ac:dyDescent="0.35">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spans="1:26" ht="15.75" customHeight="1" x14ac:dyDescent="0.35">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spans="1:26" ht="15.75" customHeight="1" x14ac:dyDescent="0.35">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spans="1:26" ht="15.75" customHeight="1" x14ac:dyDescent="0.35">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spans="1:26" ht="15.75" customHeight="1" x14ac:dyDescent="0.35">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spans="1:26" ht="15.75" customHeight="1" x14ac:dyDescent="0.35">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spans="1:26" ht="15.75" customHeight="1" x14ac:dyDescent="0.35">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spans="1:26" ht="15.75" customHeight="1" x14ac:dyDescent="0.35">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spans="1:26" ht="15.75" customHeight="1" x14ac:dyDescent="0.35">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spans="1:26" ht="15.75" customHeight="1" x14ac:dyDescent="0.35">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spans="1:26" ht="15.75" customHeight="1" x14ac:dyDescent="0.35">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spans="1:26" ht="15.75" customHeight="1" x14ac:dyDescent="0.35">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spans="1:26" ht="15.75" customHeight="1" x14ac:dyDescent="0.35">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spans="1:26" ht="15.75" customHeight="1" x14ac:dyDescent="0.35">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spans="1:26" ht="15.75" customHeight="1" x14ac:dyDescent="0.35">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spans="1:26" ht="15.75" customHeight="1" x14ac:dyDescent="0.35">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spans="1:26" ht="15.75" customHeight="1" x14ac:dyDescent="0.35">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spans="1:26" ht="15.75" customHeight="1" x14ac:dyDescent="0.35">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spans="1:26" ht="15.75" customHeight="1" x14ac:dyDescent="0.35">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spans="1:26" ht="15.75" customHeight="1" x14ac:dyDescent="0.35">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spans="1:26" ht="15.75" customHeight="1" x14ac:dyDescent="0.35">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spans="1:26" ht="15.75" customHeight="1" x14ac:dyDescent="0.35">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spans="1:26" ht="15.75" customHeight="1" x14ac:dyDescent="0.35">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spans="1:26" ht="15.75" customHeight="1" x14ac:dyDescent="0.35">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spans="1:26" ht="15.75" customHeight="1" x14ac:dyDescent="0.35">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spans="1:26" ht="15.75" customHeight="1" x14ac:dyDescent="0.35">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spans="1:26" ht="15.75" customHeight="1" x14ac:dyDescent="0.35">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spans="1:26" ht="15.75" customHeight="1" x14ac:dyDescent="0.35">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spans="1:26" ht="15.75" customHeight="1" x14ac:dyDescent="0.35">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spans="1:26" ht="15.75" customHeight="1" x14ac:dyDescent="0.35">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spans="1:26" ht="15.75" customHeight="1" x14ac:dyDescent="0.35">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spans="1:26" ht="15.75" customHeight="1" x14ac:dyDescent="0.35">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spans="1:26" ht="15.75" customHeight="1" x14ac:dyDescent="0.35">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spans="1:26" ht="15.75" customHeight="1" x14ac:dyDescent="0.35">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spans="1:26" ht="15.75" customHeight="1" x14ac:dyDescent="0.35">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spans="1:26" ht="15.75" customHeight="1" x14ac:dyDescent="0.35">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spans="1:26" ht="15.75" customHeight="1" x14ac:dyDescent="0.35">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spans="1:26" ht="15.75" customHeight="1" x14ac:dyDescent="0.35">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spans="1:26" ht="15.75" customHeight="1" x14ac:dyDescent="0.35">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spans="1:26" ht="15.75" customHeight="1" x14ac:dyDescent="0.35">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spans="1:26" ht="15.75" customHeight="1" x14ac:dyDescent="0.35">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spans="1:26" ht="15.75" customHeight="1" x14ac:dyDescent="0.35">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spans="1:26" ht="15.75" customHeight="1" x14ac:dyDescent="0.35">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spans="1:26" ht="15.75" customHeight="1" x14ac:dyDescent="0.35">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spans="1:26" ht="15.75" customHeight="1" x14ac:dyDescent="0.35">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spans="1:26" ht="15.75" customHeight="1" x14ac:dyDescent="0.35">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spans="1:26" ht="15.75" customHeight="1" x14ac:dyDescent="0.35">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spans="1:26" ht="15.75" customHeight="1" x14ac:dyDescent="0.35">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spans="1:26" ht="15.75" customHeight="1" x14ac:dyDescent="0.35">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spans="1:26" ht="15.75" customHeight="1" x14ac:dyDescent="0.35">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spans="1:26" ht="15.75" customHeight="1" x14ac:dyDescent="0.35">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spans="1:26" ht="15.75" customHeight="1" x14ac:dyDescent="0.35">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spans="1:26" ht="15.75" customHeight="1" x14ac:dyDescent="0.35">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spans="1:26" ht="15.75" customHeight="1" x14ac:dyDescent="0.35">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spans="1:26" ht="15.75" customHeight="1" x14ac:dyDescent="0.35">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spans="1:26" ht="15.75" customHeight="1" x14ac:dyDescent="0.35">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spans="1:26" ht="15.75" customHeight="1" x14ac:dyDescent="0.35">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spans="1:26" ht="15.75" customHeight="1" x14ac:dyDescent="0.35">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spans="1:26" ht="15.75" customHeight="1" x14ac:dyDescent="0.35">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spans="1:26" ht="15.75" customHeight="1" x14ac:dyDescent="0.35">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spans="1:26" ht="15.75" customHeight="1" x14ac:dyDescent="0.35">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spans="1:26" ht="15.75" customHeight="1" x14ac:dyDescent="0.35">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spans="1:26" ht="15.75" customHeight="1" x14ac:dyDescent="0.35">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spans="1:26" ht="15.75" customHeight="1" x14ac:dyDescent="0.35">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spans="1:26" ht="15.75" customHeight="1" x14ac:dyDescent="0.35">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spans="1:26" ht="15.75" customHeight="1" x14ac:dyDescent="0.35">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spans="1:26" ht="15.75" customHeight="1" x14ac:dyDescent="0.35">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spans="1:26" ht="15.75" customHeight="1" x14ac:dyDescent="0.35">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spans="1:26" ht="15.75" customHeight="1" x14ac:dyDescent="0.35">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spans="1:26" ht="15.75" customHeight="1" x14ac:dyDescent="0.35">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spans="1:26" ht="15.75" customHeight="1" x14ac:dyDescent="0.35">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spans="1:26" ht="15.75" customHeight="1" x14ac:dyDescent="0.35">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spans="1:26" ht="15.75" customHeight="1" x14ac:dyDescent="0.35">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spans="1:26" ht="15.75" customHeight="1" x14ac:dyDescent="0.35">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spans="1:26" ht="15.75" customHeight="1" x14ac:dyDescent="0.35">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spans="1:26" ht="15.75" customHeight="1" x14ac:dyDescent="0.35">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spans="1:26" ht="15.75" customHeight="1" x14ac:dyDescent="0.35">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spans="1:26" ht="15.75" customHeight="1" x14ac:dyDescent="0.35">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spans="1:26" ht="15.75" customHeight="1" x14ac:dyDescent="0.35">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spans="1:26" ht="15.75" customHeight="1" x14ac:dyDescent="0.35">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spans="1:26" ht="15.75" customHeight="1" x14ac:dyDescent="0.35">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spans="1:26" ht="15.75" customHeight="1" x14ac:dyDescent="0.35">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spans="1:26" ht="15.75" customHeight="1" x14ac:dyDescent="0.35">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spans="1:26" ht="15.75" customHeight="1" x14ac:dyDescent="0.35">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spans="1:26" ht="15.75" customHeight="1" x14ac:dyDescent="0.35">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spans="1:26" ht="15.75" customHeight="1" x14ac:dyDescent="0.35">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spans="1:26" ht="15.75" customHeight="1" x14ac:dyDescent="0.35">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spans="1:26" ht="15.75" customHeight="1" x14ac:dyDescent="0.35">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spans="1:26" ht="15.75" customHeight="1" x14ac:dyDescent="0.35">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spans="1:26" ht="15.75" customHeight="1" x14ac:dyDescent="0.35">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spans="1:26" ht="15.75" customHeight="1" x14ac:dyDescent="0.35">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spans="1:26" ht="15.75" customHeight="1" x14ac:dyDescent="0.35">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spans="1:26" ht="15.75" customHeight="1" x14ac:dyDescent="0.35">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spans="1:26" ht="15.75" customHeight="1" x14ac:dyDescent="0.35">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spans="1:26" ht="15.75" customHeight="1" x14ac:dyDescent="0.35">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spans="1:26" ht="15.75" customHeight="1" x14ac:dyDescent="0.35">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spans="1:26" ht="15.75" customHeight="1" x14ac:dyDescent="0.35">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spans="1:26" ht="15.75" customHeight="1" x14ac:dyDescent="0.35">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spans="1:26" ht="15.75" customHeight="1" x14ac:dyDescent="0.35">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spans="1:26" ht="15.75" customHeight="1" x14ac:dyDescent="0.35">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spans="1:26" ht="15.75" customHeight="1" x14ac:dyDescent="0.35">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spans="1:26" ht="15.75" customHeight="1" x14ac:dyDescent="0.35">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spans="1:26" ht="15.75" customHeight="1" x14ac:dyDescent="0.35">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spans="1:26" ht="15.75" customHeight="1" x14ac:dyDescent="0.35">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spans="1:26" ht="15.75" customHeight="1" x14ac:dyDescent="0.35">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spans="1:26" ht="15.75" customHeight="1" x14ac:dyDescent="0.35">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spans="1:26" ht="15.75" customHeight="1" x14ac:dyDescent="0.35">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spans="1:26" ht="15.75" customHeight="1" x14ac:dyDescent="0.35">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spans="1:26" ht="15.75" customHeight="1" x14ac:dyDescent="0.35">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spans="1:26" ht="15.75" customHeight="1" x14ac:dyDescent="0.35">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spans="1:26" ht="15.75" customHeight="1" x14ac:dyDescent="0.35">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spans="1:26" ht="15.75" customHeight="1" x14ac:dyDescent="0.35">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spans="1:26" ht="15.75" customHeight="1" x14ac:dyDescent="0.35">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spans="1:26" ht="15.75" customHeight="1" x14ac:dyDescent="0.35">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spans="1:26" ht="15.75" customHeight="1" x14ac:dyDescent="0.35">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spans="1:26" ht="15.75" customHeight="1" x14ac:dyDescent="0.35">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spans="1:26" ht="15.75" customHeight="1" x14ac:dyDescent="0.35">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spans="1:26" ht="15.75" customHeight="1" x14ac:dyDescent="0.35">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spans="1:26" ht="15.75" customHeight="1" x14ac:dyDescent="0.35">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spans="1:26" ht="15.75" customHeight="1" x14ac:dyDescent="0.35">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spans="1:26" ht="15.75" customHeight="1" x14ac:dyDescent="0.35">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spans="1:26" ht="15.75" customHeight="1" x14ac:dyDescent="0.35">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spans="1:26" ht="15.75" customHeight="1" x14ac:dyDescent="0.35">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spans="1:26" ht="15.75" customHeight="1" x14ac:dyDescent="0.35">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spans="1:26" ht="15.75" customHeight="1" x14ac:dyDescent="0.35">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spans="1:26" ht="15.75" customHeight="1" x14ac:dyDescent="0.35">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spans="1:26" ht="15.75" customHeight="1" x14ac:dyDescent="0.35">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spans="1:26" ht="15.75" customHeight="1" x14ac:dyDescent="0.35">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spans="1:26" ht="15.75" customHeight="1" x14ac:dyDescent="0.35">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spans="1:26" ht="15.75" customHeight="1" x14ac:dyDescent="0.35">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spans="1:26" ht="15.75" customHeight="1" x14ac:dyDescent="0.35">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spans="1:26" ht="15.75" customHeight="1" x14ac:dyDescent="0.35">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spans="1:26" ht="15.75" customHeight="1" x14ac:dyDescent="0.35">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spans="1:26" ht="15.75" customHeight="1" x14ac:dyDescent="0.35">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spans="1:26" ht="15.75" customHeight="1" x14ac:dyDescent="0.35">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spans="1:26" ht="15.75" customHeight="1" x14ac:dyDescent="0.35">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spans="1:26" ht="15.75" customHeight="1" x14ac:dyDescent="0.35">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spans="1:26" ht="15.75" customHeight="1" x14ac:dyDescent="0.35">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spans="1:26" ht="15.75" customHeight="1" x14ac:dyDescent="0.35">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spans="1:26" ht="15.75" customHeight="1" x14ac:dyDescent="0.35">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spans="1:26" ht="15.75" customHeight="1" x14ac:dyDescent="0.35">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spans="1:26" ht="15.75" customHeight="1" x14ac:dyDescent="0.35">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spans="1:26" ht="15.75" customHeight="1" x14ac:dyDescent="0.35">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spans="1:26" ht="15.75" customHeight="1" x14ac:dyDescent="0.35">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spans="1:26" ht="15.75" customHeight="1" x14ac:dyDescent="0.35">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spans="1:26" ht="15.75" customHeight="1" x14ac:dyDescent="0.35">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spans="1:26" ht="15.75" customHeight="1" x14ac:dyDescent="0.35">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spans="1:26" ht="15.75" customHeight="1" x14ac:dyDescent="0.35">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spans="1:26" ht="15.75" customHeight="1" x14ac:dyDescent="0.35">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spans="1:26" ht="15.75" customHeight="1" x14ac:dyDescent="0.35">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spans="1:26" ht="15.75" customHeight="1" x14ac:dyDescent="0.35">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spans="1:26" ht="15.75" customHeight="1" x14ac:dyDescent="0.35">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spans="1:26" ht="15.75" customHeight="1" x14ac:dyDescent="0.35">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spans="1:26" ht="15.75" customHeight="1" x14ac:dyDescent="0.35">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spans="1:26" ht="15.75" customHeight="1" x14ac:dyDescent="0.35">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spans="1:26" ht="15.75" customHeight="1" x14ac:dyDescent="0.35">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spans="1:26" ht="15.75" customHeight="1" x14ac:dyDescent="0.35">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spans="1:26" ht="15.75" customHeight="1" x14ac:dyDescent="0.35">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spans="1:26" ht="15.75" customHeight="1" x14ac:dyDescent="0.35">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spans="1:26" ht="15.75" customHeight="1" x14ac:dyDescent="0.35">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spans="1:26" ht="15.75" customHeight="1" x14ac:dyDescent="0.35">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spans="1:26" ht="15.75" customHeight="1" x14ac:dyDescent="0.35">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spans="1:26" ht="15.75" customHeight="1" x14ac:dyDescent="0.35">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spans="1:26" ht="15.75" customHeight="1" x14ac:dyDescent="0.35">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spans="1:26" ht="15.75" customHeight="1" x14ac:dyDescent="0.35">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spans="1:26" ht="15.75" customHeight="1" x14ac:dyDescent="0.35">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spans="1:26" ht="15.75" customHeight="1" x14ac:dyDescent="0.35">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spans="1:26" ht="15.75" customHeight="1" x14ac:dyDescent="0.35">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spans="1:26" ht="15.75" customHeight="1" x14ac:dyDescent="0.35">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spans="1:26" ht="15.75" customHeight="1" x14ac:dyDescent="0.35">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spans="1:26" ht="15.75" customHeight="1" x14ac:dyDescent="0.35">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spans="1:26" ht="15.75" customHeight="1" x14ac:dyDescent="0.35">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spans="1:26" ht="15.75" customHeight="1" x14ac:dyDescent="0.35">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spans="1:26" ht="15.75" customHeight="1" x14ac:dyDescent="0.35">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spans="1:26" ht="15.75" customHeight="1" x14ac:dyDescent="0.35">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spans="1:26" ht="15.75" customHeight="1" x14ac:dyDescent="0.35">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spans="1:26" ht="15.75" customHeight="1" x14ac:dyDescent="0.35">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spans="1:26" ht="15.75" customHeight="1" x14ac:dyDescent="0.35">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spans="1:26" ht="15.75" customHeight="1" x14ac:dyDescent="0.35">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spans="1:26" ht="15.75" customHeight="1" x14ac:dyDescent="0.35">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spans="1:26" ht="15.75" customHeight="1" x14ac:dyDescent="0.35">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spans="1:26" ht="15.75" customHeight="1" x14ac:dyDescent="0.35">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spans="1:26" ht="15.75" customHeight="1" x14ac:dyDescent="0.35">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spans="1:26" ht="15.75" customHeight="1" x14ac:dyDescent="0.35">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spans="1:26" ht="15.75" customHeight="1" x14ac:dyDescent="0.35">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spans="1:26" ht="15.75" customHeight="1" x14ac:dyDescent="0.35">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spans="1:26" ht="15.75" customHeight="1" x14ac:dyDescent="0.35">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spans="1:26" ht="15.75" customHeight="1" x14ac:dyDescent="0.35">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spans="1:26" ht="15.75" customHeight="1" x14ac:dyDescent="0.35">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spans="1:26" ht="15.75" customHeight="1" x14ac:dyDescent="0.35">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spans="1:26" ht="15.75" customHeight="1" x14ac:dyDescent="0.35">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spans="1:26" ht="15.75" customHeight="1" x14ac:dyDescent="0.35">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spans="1:26" ht="15.75" customHeight="1" x14ac:dyDescent="0.35">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spans="1:26" ht="15.75" customHeight="1" x14ac:dyDescent="0.35">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spans="1:26" ht="15.75" customHeight="1" x14ac:dyDescent="0.35">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spans="1:26" ht="15.75" customHeight="1" x14ac:dyDescent="0.35">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spans="1:26" ht="15.75" customHeight="1" x14ac:dyDescent="0.35">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spans="1:26" ht="15.75" customHeight="1" x14ac:dyDescent="0.35">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spans="1:26" ht="15.75" customHeight="1" x14ac:dyDescent="0.35">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spans="1:26" ht="15.75" customHeight="1" x14ac:dyDescent="0.35">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spans="1:26" ht="15.75" customHeight="1" x14ac:dyDescent="0.35">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spans="1:26" ht="15.75" customHeight="1" x14ac:dyDescent="0.35">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spans="1:26" ht="15.75" customHeight="1" x14ac:dyDescent="0.35">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spans="1:26" ht="15.75" customHeight="1" x14ac:dyDescent="0.35">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spans="1:26" ht="15.75" customHeight="1" x14ac:dyDescent="0.35">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spans="1:26" ht="15.75" customHeight="1" x14ac:dyDescent="0.35">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spans="1:26" ht="15.75" customHeight="1" x14ac:dyDescent="0.35">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spans="1:26" ht="15.75" customHeight="1" x14ac:dyDescent="0.35">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spans="1:26" ht="15.75" customHeight="1" x14ac:dyDescent="0.35">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spans="1:26" ht="15.75" customHeight="1" x14ac:dyDescent="0.35">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spans="1:26" ht="15.75" customHeight="1" x14ac:dyDescent="0.35">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spans="1:26" ht="15.75" customHeight="1" x14ac:dyDescent="0.35">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spans="1:26" ht="15.75" customHeight="1" x14ac:dyDescent="0.35">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spans="1:26" ht="15.75" customHeight="1" x14ac:dyDescent="0.35">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spans="1:26" ht="15.75" customHeight="1" x14ac:dyDescent="0.35">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spans="1:26" ht="15.75" customHeight="1" x14ac:dyDescent="0.35">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spans="1:26" ht="15.75" customHeight="1" x14ac:dyDescent="0.35">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spans="1:26" ht="15.75" customHeight="1" x14ac:dyDescent="0.35">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spans="1:26" ht="15.75" customHeight="1" x14ac:dyDescent="0.35">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spans="1:26" ht="15.75" customHeight="1" x14ac:dyDescent="0.35">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spans="1:26" ht="15.75" customHeight="1" x14ac:dyDescent="0.35">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spans="1:26" ht="15.75" customHeight="1" x14ac:dyDescent="0.35">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spans="1:26" ht="15.75" customHeight="1" x14ac:dyDescent="0.35">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spans="1:26" ht="15.75" customHeight="1" x14ac:dyDescent="0.35">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spans="1:26" ht="15.75" customHeight="1" x14ac:dyDescent="0.35">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spans="1:26" ht="15.75" customHeight="1" x14ac:dyDescent="0.35">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spans="1:26" ht="15.75" customHeight="1" x14ac:dyDescent="0.35">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spans="1:26" ht="15.75" customHeight="1" x14ac:dyDescent="0.35">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spans="1:26" ht="15.75" customHeight="1" x14ac:dyDescent="0.35">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spans="1:26" ht="15.75" customHeight="1" x14ac:dyDescent="0.35">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spans="1:26" ht="15.75" customHeight="1" x14ac:dyDescent="0.35">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spans="1:26" ht="15.75" customHeight="1" x14ac:dyDescent="0.35">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spans="1:26" ht="15.75" customHeight="1" x14ac:dyDescent="0.35">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spans="1:26" ht="15.75" customHeight="1" x14ac:dyDescent="0.35">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spans="1:26" ht="15.75" customHeight="1" x14ac:dyDescent="0.35">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spans="1:26" ht="15.75" customHeight="1" x14ac:dyDescent="0.35">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spans="1:26" ht="15.75" customHeight="1" x14ac:dyDescent="0.35">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spans="1:26" ht="15.75" customHeight="1" x14ac:dyDescent="0.35">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spans="1:26" ht="15.75" customHeight="1" x14ac:dyDescent="0.35">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spans="1:26" ht="15.75" customHeight="1" x14ac:dyDescent="0.35">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spans="1:26" ht="15.75" customHeight="1" x14ac:dyDescent="0.35">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spans="1:26" ht="15.75" customHeight="1" x14ac:dyDescent="0.35">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spans="1:26" ht="15.75" customHeight="1" x14ac:dyDescent="0.35">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spans="1:26" ht="15.75" customHeight="1" x14ac:dyDescent="0.35">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spans="1:26" ht="15.75" customHeight="1" x14ac:dyDescent="0.35">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spans="1:26" ht="15.75" customHeight="1" x14ac:dyDescent="0.35">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spans="1:26" ht="15.75" customHeight="1" x14ac:dyDescent="0.35">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spans="1:26" ht="15.75" customHeight="1" x14ac:dyDescent="0.35">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spans="1:26" ht="15.75" customHeight="1" x14ac:dyDescent="0.35">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spans="1:26" ht="15.75" customHeight="1" x14ac:dyDescent="0.35">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spans="1:26" ht="15.75" customHeight="1" x14ac:dyDescent="0.35">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spans="1:26" ht="15.75" customHeight="1" x14ac:dyDescent="0.35">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spans="1:26" ht="15.75" customHeight="1" x14ac:dyDescent="0.35">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spans="1:26" ht="15.75" customHeight="1" x14ac:dyDescent="0.35">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spans="1:26" ht="15.75" customHeight="1" x14ac:dyDescent="0.35">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spans="1:26" ht="15.75" customHeight="1" x14ac:dyDescent="0.35">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spans="1:26" ht="15.75" customHeight="1" x14ac:dyDescent="0.35">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spans="1:26" ht="15.75" customHeight="1" x14ac:dyDescent="0.35">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spans="1:26" ht="15.75" customHeight="1" x14ac:dyDescent="0.35">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spans="1:26" ht="15.75" customHeight="1" x14ac:dyDescent="0.35">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spans="1:26" ht="15.75" customHeight="1" x14ac:dyDescent="0.35">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spans="1:26" ht="15.75" customHeight="1" x14ac:dyDescent="0.35">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spans="1:26" ht="15.75" customHeight="1" x14ac:dyDescent="0.35">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spans="1:26" ht="15.75" customHeight="1" x14ac:dyDescent="0.35">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spans="1:26" ht="15.75" customHeight="1" x14ac:dyDescent="0.35">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spans="1:26" ht="15.75" customHeight="1" x14ac:dyDescent="0.35">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spans="1:26" ht="15.75" customHeight="1" x14ac:dyDescent="0.35">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spans="1:26" ht="15.75" customHeight="1" x14ac:dyDescent="0.35">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spans="1:26" ht="15.75" customHeight="1" x14ac:dyDescent="0.35">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spans="1:26" ht="15.75" customHeight="1" x14ac:dyDescent="0.35">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spans="1:26" ht="15.75" customHeight="1" x14ac:dyDescent="0.35">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spans="1:26" ht="15.75" customHeight="1" x14ac:dyDescent="0.35">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spans="1:26" ht="15.75" customHeight="1" x14ac:dyDescent="0.35">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spans="1:26" ht="15.75" customHeight="1" x14ac:dyDescent="0.35">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spans="1:26" ht="15.75" customHeight="1" x14ac:dyDescent="0.35">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spans="1:26" ht="15.75" customHeight="1" x14ac:dyDescent="0.35">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spans="1:26" ht="15.75" customHeight="1" x14ac:dyDescent="0.35">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spans="1:26" ht="15.75" customHeight="1" x14ac:dyDescent="0.35">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spans="1:26" ht="15.75" customHeight="1" x14ac:dyDescent="0.35">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spans="1:26" ht="15.75" customHeight="1" x14ac:dyDescent="0.35">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spans="1:26" ht="15.75" customHeight="1" x14ac:dyDescent="0.35">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spans="1:26" ht="15.75" customHeight="1" x14ac:dyDescent="0.35">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spans="1:26" ht="15.75" customHeight="1" x14ac:dyDescent="0.35">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spans="1:26" ht="15.75" customHeight="1" x14ac:dyDescent="0.35">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spans="1:26" ht="15.75" customHeight="1" x14ac:dyDescent="0.35">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spans="1:26" ht="15.75" customHeight="1" x14ac:dyDescent="0.35">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spans="1:26" ht="15.75" customHeight="1" x14ac:dyDescent="0.35">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spans="1:26" ht="15.75" customHeight="1" x14ac:dyDescent="0.35">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spans="1:26" ht="15.75" customHeight="1" x14ac:dyDescent="0.35">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spans="1:26" ht="15.75" customHeight="1" x14ac:dyDescent="0.35">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spans="1:26" ht="15.75" customHeight="1" x14ac:dyDescent="0.35">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spans="1:26" ht="15.75" customHeight="1" x14ac:dyDescent="0.35">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spans="1:26" ht="15.75" customHeight="1" x14ac:dyDescent="0.35">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spans="1:26" ht="15.75" customHeight="1" x14ac:dyDescent="0.35">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spans="1:26" ht="15.75" customHeight="1" x14ac:dyDescent="0.35">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spans="1:26" ht="15.75" customHeight="1" x14ac:dyDescent="0.35">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spans="1:26" ht="15.75" customHeight="1" x14ac:dyDescent="0.35">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spans="1:26" ht="15.75" customHeight="1" x14ac:dyDescent="0.35">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spans="1:26" ht="15.75" customHeight="1" x14ac:dyDescent="0.35">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spans="1:26" ht="15.75" customHeight="1" x14ac:dyDescent="0.35">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spans="1:26" ht="15.75" customHeight="1" x14ac:dyDescent="0.35">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spans="1:26" ht="15.75" customHeight="1" x14ac:dyDescent="0.35">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spans="1:26" ht="15.75" customHeight="1" x14ac:dyDescent="0.35">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spans="1:26" ht="15.75" customHeight="1" x14ac:dyDescent="0.35">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spans="1:26" ht="15.75" customHeight="1" x14ac:dyDescent="0.35">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spans="1:26" ht="15.75" customHeight="1" x14ac:dyDescent="0.35">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spans="1:26" ht="15.75" customHeight="1" x14ac:dyDescent="0.35">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spans="1:26" ht="15.75" customHeight="1" x14ac:dyDescent="0.35">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spans="1:26" ht="15.75" customHeight="1" x14ac:dyDescent="0.35">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spans="1:26" ht="15.75" customHeight="1" x14ac:dyDescent="0.35">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spans="1:26" ht="15.75" customHeight="1" x14ac:dyDescent="0.35">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spans="1:26" ht="15.75" customHeight="1" x14ac:dyDescent="0.35">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spans="1:26" ht="15.75" customHeight="1" x14ac:dyDescent="0.35">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spans="1:26" ht="15.75" customHeight="1" x14ac:dyDescent="0.35">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spans="1:26" ht="15.75" customHeight="1" x14ac:dyDescent="0.35">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spans="1:26" ht="15.75" customHeight="1" x14ac:dyDescent="0.35">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spans="1:26" ht="15.75" customHeight="1" x14ac:dyDescent="0.35">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spans="1:26" ht="15.75" customHeight="1" x14ac:dyDescent="0.35">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spans="1:26" ht="15.75" customHeight="1" x14ac:dyDescent="0.35">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spans="1:26" ht="15.75" customHeight="1" x14ac:dyDescent="0.35">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spans="1:26" ht="15.75" customHeight="1" x14ac:dyDescent="0.35">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spans="1:26" ht="15.75" customHeight="1" x14ac:dyDescent="0.35">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spans="1:26" ht="15.75" customHeight="1" x14ac:dyDescent="0.35">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spans="1:26" ht="15.75" customHeight="1" x14ac:dyDescent="0.35">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spans="1:26" ht="15.75" customHeight="1" x14ac:dyDescent="0.35">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spans="1:26" ht="15.75" customHeight="1" x14ac:dyDescent="0.35">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spans="1:26" ht="15.75" customHeight="1" x14ac:dyDescent="0.35">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spans="1:26" ht="15.75" customHeight="1" x14ac:dyDescent="0.35">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spans="1:26" ht="15.75" customHeight="1" x14ac:dyDescent="0.35">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spans="1:26" ht="15.75" customHeight="1" x14ac:dyDescent="0.35">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spans="1:26" ht="15.75" customHeight="1" x14ac:dyDescent="0.35">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spans="1:26" ht="15.75" customHeight="1" x14ac:dyDescent="0.35">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spans="1:26" ht="15.75" customHeight="1" x14ac:dyDescent="0.35">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spans="1:26" ht="15.75" customHeight="1" x14ac:dyDescent="0.35">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spans="1:26" ht="15.75" customHeight="1" x14ac:dyDescent="0.35">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spans="1:26" ht="15.75" customHeight="1" x14ac:dyDescent="0.35">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spans="1:26" ht="15.75" customHeight="1" x14ac:dyDescent="0.35">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spans="1:26" ht="15.75" customHeight="1" x14ac:dyDescent="0.35">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spans="1:26" ht="15.75" customHeight="1" x14ac:dyDescent="0.35">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spans="1:26" ht="15.75" customHeight="1" x14ac:dyDescent="0.35">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spans="1:26" ht="15.75" customHeight="1" x14ac:dyDescent="0.35">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spans="1:26" ht="15.75" customHeight="1" x14ac:dyDescent="0.35">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spans="1:26" ht="15.75" customHeight="1" x14ac:dyDescent="0.35">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spans="1:26" ht="15.75" customHeight="1" x14ac:dyDescent="0.35">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spans="1:26" ht="15.75" customHeight="1" x14ac:dyDescent="0.35">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spans="1:26" ht="15.75" customHeight="1" x14ac:dyDescent="0.35">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spans="1:26" ht="15.75" customHeight="1" x14ac:dyDescent="0.35">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spans="1:26" ht="15.75" customHeight="1" x14ac:dyDescent="0.35">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spans="1:26" ht="15.75" customHeight="1" x14ac:dyDescent="0.35">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spans="1:26" ht="15.75" customHeight="1" x14ac:dyDescent="0.35">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spans="1:26" ht="15.75" customHeight="1" x14ac:dyDescent="0.35">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spans="1:26" ht="15.75" customHeight="1" x14ac:dyDescent="0.35">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spans="1:26" ht="15.75" customHeight="1" x14ac:dyDescent="0.35">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spans="1:26" ht="15.75" customHeight="1" x14ac:dyDescent="0.35">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spans="1:26" ht="15.75" customHeight="1" x14ac:dyDescent="0.35">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spans="1:26" ht="15.75" customHeight="1" x14ac:dyDescent="0.35">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spans="1:26" ht="15.75" customHeight="1" x14ac:dyDescent="0.35">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spans="1:26" ht="15.75" customHeight="1" x14ac:dyDescent="0.35">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spans="1:26" ht="15.75" customHeight="1" x14ac:dyDescent="0.35">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spans="1:26" ht="15.75" customHeight="1" x14ac:dyDescent="0.35">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spans="1:26" ht="15.5" x14ac:dyDescent="0.35">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spans="1:26" ht="15.5" x14ac:dyDescent="0.35">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10">
    <mergeCell ref="E20:K22"/>
    <mergeCell ref="D24:F24"/>
    <mergeCell ref="D30:F30"/>
    <mergeCell ref="B4:D4"/>
    <mergeCell ref="B5:D5"/>
    <mergeCell ref="B6:D6"/>
    <mergeCell ref="B7:D7"/>
    <mergeCell ref="B8:D8"/>
    <mergeCell ref="E8:G8"/>
    <mergeCell ref="E11:K11"/>
  </mergeCells>
  <dataValidations count="1">
    <dataValidation type="list" allowBlank="1" showErrorMessage="1" sqref="D18" xr:uid="{00000000-0002-0000-1200-000000000000}">
      <formula1>"Low,Medium,High"</formula1>
    </dataValidation>
  </dataValidations>
  <hyperlinks>
    <hyperlink ref="E11" r:id="rId1" xr:uid="{00000000-0004-0000-1200-000000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7068C"/>
  </sheetPr>
  <dimension ref="A1:W1001"/>
  <sheetViews>
    <sheetView showGridLines="0" workbookViewId="0"/>
  </sheetViews>
  <sheetFormatPr defaultColWidth="14.3984375" defaultRowHeight="15" customHeight="1" x14ac:dyDescent="0.3"/>
  <cols>
    <col min="1" max="1" width="10.69921875" customWidth="1"/>
    <col min="2" max="2" width="6" customWidth="1"/>
    <col min="3" max="9" width="10.69921875" customWidth="1"/>
    <col min="10" max="10" width="25.69921875" customWidth="1"/>
    <col min="11" max="12" width="10.69921875" customWidth="1"/>
    <col min="13" max="23" width="12.69921875" customWidth="1"/>
  </cols>
  <sheetData>
    <row r="1" spans="1:23" ht="12.75" customHeight="1" x14ac:dyDescent="0.3">
      <c r="A1" s="2"/>
      <c r="B1" s="2"/>
      <c r="C1" s="2"/>
      <c r="D1" s="2"/>
      <c r="E1" s="2"/>
      <c r="F1" s="2"/>
      <c r="G1" s="2"/>
      <c r="H1" s="2"/>
      <c r="I1" s="2"/>
      <c r="J1" s="2"/>
      <c r="K1" s="2"/>
      <c r="L1" s="2"/>
      <c r="M1" s="2"/>
      <c r="N1" s="2"/>
      <c r="O1" s="2"/>
      <c r="P1" s="2"/>
      <c r="Q1" s="2"/>
      <c r="R1" s="2"/>
      <c r="S1" s="2"/>
      <c r="T1" s="2"/>
      <c r="U1" s="2"/>
      <c r="V1" s="2"/>
      <c r="W1" s="2"/>
    </row>
    <row r="2" spans="1:23" ht="12.75" customHeight="1" x14ac:dyDescent="0.3">
      <c r="A2" s="2"/>
      <c r="B2" s="2"/>
      <c r="C2" s="2"/>
      <c r="D2" s="2"/>
      <c r="E2" s="2"/>
      <c r="F2" s="2"/>
      <c r="G2" s="2"/>
      <c r="H2" s="2"/>
      <c r="I2" s="2"/>
      <c r="J2" s="2"/>
      <c r="K2" s="2"/>
      <c r="L2" s="2"/>
      <c r="M2" s="2"/>
      <c r="N2" s="2"/>
      <c r="O2" s="2"/>
      <c r="P2" s="2"/>
      <c r="Q2" s="2"/>
      <c r="R2" s="2"/>
      <c r="S2" s="2"/>
      <c r="T2" s="2"/>
      <c r="U2" s="2"/>
      <c r="V2" s="2"/>
      <c r="W2" s="2"/>
    </row>
    <row r="3" spans="1:23" ht="18" customHeight="1" x14ac:dyDescent="0.4">
      <c r="A3" s="2"/>
      <c r="B3" s="537" t="s">
        <v>5</v>
      </c>
      <c r="C3" s="538"/>
      <c r="D3" s="539"/>
      <c r="E3" s="8"/>
      <c r="F3" s="8"/>
      <c r="G3" s="8"/>
      <c r="H3" s="8"/>
      <c r="I3" s="8"/>
      <c r="J3" s="9"/>
      <c r="K3" s="10"/>
      <c r="L3" s="10"/>
      <c r="M3" s="2"/>
      <c r="N3" s="2"/>
      <c r="O3" s="2"/>
      <c r="P3" s="2"/>
      <c r="Q3" s="2"/>
      <c r="R3" s="2"/>
      <c r="S3" s="2"/>
      <c r="T3" s="2"/>
      <c r="U3" s="2"/>
      <c r="V3" s="2"/>
      <c r="W3" s="2"/>
    </row>
    <row r="4" spans="1:23" ht="170.25" customHeight="1" x14ac:dyDescent="0.3">
      <c r="A4" s="2"/>
      <c r="B4" s="540" t="s">
        <v>6</v>
      </c>
      <c r="C4" s="538"/>
      <c r="D4" s="538"/>
      <c r="E4" s="538"/>
      <c r="F4" s="538"/>
      <c r="G4" s="538"/>
      <c r="H4" s="538"/>
      <c r="I4" s="538"/>
      <c r="J4" s="541"/>
      <c r="K4" s="10"/>
      <c r="L4" s="10"/>
      <c r="M4" s="2"/>
      <c r="N4" s="2"/>
      <c r="O4" s="2"/>
      <c r="P4" s="2"/>
      <c r="Q4" s="2"/>
      <c r="R4" s="2"/>
      <c r="S4" s="2"/>
      <c r="T4" s="2"/>
      <c r="U4" s="2"/>
      <c r="V4" s="2"/>
      <c r="W4" s="2"/>
    </row>
    <row r="5" spans="1:23" ht="16.5" customHeight="1" x14ac:dyDescent="0.35">
      <c r="A5" s="2"/>
      <c r="B5" s="11"/>
      <c r="C5" s="12"/>
      <c r="D5" s="12"/>
      <c r="E5" s="12"/>
      <c r="F5" s="12"/>
      <c r="G5" s="12"/>
      <c r="H5" s="12"/>
      <c r="I5" s="12"/>
      <c r="J5" s="12"/>
      <c r="K5" s="13"/>
      <c r="L5" s="13"/>
      <c r="M5" s="2"/>
      <c r="N5" s="2"/>
      <c r="O5" s="2"/>
      <c r="P5" s="2"/>
      <c r="Q5" s="2"/>
      <c r="R5" s="2"/>
      <c r="S5" s="2"/>
      <c r="T5" s="2"/>
      <c r="U5" s="2"/>
      <c r="V5" s="2"/>
      <c r="W5" s="2"/>
    </row>
    <row r="6" spans="1:23" ht="30" customHeight="1" x14ac:dyDescent="0.35">
      <c r="A6" s="2"/>
      <c r="B6" s="14">
        <v>1</v>
      </c>
      <c r="C6" s="542" t="s">
        <v>7</v>
      </c>
      <c r="D6" s="538"/>
      <c r="E6" s="538"/>
      <c r="F6" s="538"/>
      <c r="G6" s="538"/>
      <c r="H6" s="538"/>
      <c r="I6" s="538"/>
      <c r="J6" s="541"/>
      <c r="K6" s="10"/>
      <c r="L6" s="10"/>
      <c r="M6" s="2"/>
      <c r="N6" s="2"/>
      <c r="O6" s="2"/>
      <c r="P6" s="2"/>
      <c r="Q6" s="2"/>
      <c r="R6" s="2"/>
      <c r="S6" s="2"/>
      <c r="T6" s="2"/>
      <c r="U6" s="2"/>
      <c r="V6" s="2"/>
      <c r="W6" s="2"/>
    </row>
    <row r="7" spans="1:23" ht="12.75" customHeight="1" x14ac:dyDescent="0.35">
      <c r="A7" s="2"/>
      <c r="B7" s="11"/>
      <c r="C7" s="15"/>
      <c r="D7" s="16"/>
      <c r="E7" s="16"/>
      <c r="F7" s="16"/>
      <c r="G7" s="16"/>
      <c r="H7" s="16"/>
      <c r="I7" s="16"/>
      <c r="J7" s="16"/>
      <c r="K7" s="10"/>
      <c r="L7" s="10"/>
      <c r="M7" s="2"/>
      <c r="N7" s="2"/>
      <c r="O7" s="2"/>
      <c r="P7" s="2"/>
      <c r="Q7" s="2"/>
      <c r="R7" s="2"/>
      <c r="S7" s="2"/>
      <c r="T7" s="2"/>
      <c r="U7" s="2"/>
      <c r="V7" s="2"/>
      <c r="W7" s="2"/>
    </row>
    <row r="8" spans="1:23" ht="33" customHeight="1" x14ac:dyDescent="0.35">
      <c r="A8" s="2"/>
      <c r="B8" s="17">
        <v>2</v>
      </c>
      <c r="C8" s="543" t="s">
        <v>8</v>
      </c>
      <c r="D8" s="538"/>
      <c r="E8" s="538"/>
      <c r="F8" s="538"/>
      <c r="G8" s="538"/>
      <c r="H8" s="538"/>
      <c r="I8" s="538"/>
      <c r="J8" s="541"/>
      <c r="K8" s="10"/>
      <c r="L8" s="10"/>
      <c r="M8" s="2"/>
      <c r="N8" s="2"/>
      <c r="O8" s="2"/>
      <c r="P8" s="2"/>
      <c r="Q8" s="2"/>
      <c r="R8" s="2"/>
      <c r="S8" s="2"/>
      <c r="T8" s="2"/>
      <c r="U8" s="2"/>
      <c r="V8" s="2"/>
      <c r="W8" s="2"/>
    </row>
    <row r="9" spans="1:23" ht="12.75" customHeight="1" x14ac:dyDescent="0.35">
      <c r="A9" s="2"/>
      <c r="B9" s="18"/>
      <c r="C9" s="18"/>
      <c r="D9" s="18"/>
      <c r="E9" s="18"/>
      <c r="F9" s="18"/>
      <c r="G9" s="18"/>
      <c r="H9" s="18"/>
      <c r="I9" s="18"/>
      <c r="J9" s="18"/>
      <c r="K9" s="10"/>
      <c r="L9" s="10"/>
      <c r="M9" s="2"/>
      <c r="N9" s="2"/>
      <c r="O9" s="2"/>
      <c r="P9" s="2"/>
      <c r="Q9" s="2"/>
      <c r="R9" s="2"/>
      <c r="S9" s="2"/>
      <c r="T9" s="2"/>
      <c r="U9" s="2"/>
      <c r="V9" s="2"/>
      <c r="W9" s="2"/>
    </row>
    <row r="10" spans="1:23" ht="30" customHeight="1" x14ac:dyDescent="0.35">
      <c r="A10" s="2"/>
      <c r="B10" s="19">
        <v>3</v>
      </c>
      <c r="C10" s="544" t="s">
        <v>9</v>
      </c>
      <c r="D10" s="538"/>
      <c r="E10" s="538"/>
      <c r="F10" s="538"/>
      <c r="G10" s="538"/>
      <c r="H10" s="538"/>
      <c r="I10" s="538"/>
      <c r="J10" s="541"/>
      <c r="K10" s="10"/>
      <c r="L10" s="10"/>
      <c r="M10" s="2"/>
      <c r="N10" s="2"/>
      <c r="O10" s="2"/>
      <c r="P10" s="2"/>
      <c r="Q10" s="2"/>
      <c r="R10" s="2"/>
      <c r="S10" s="2"/>
      <c r="T10" s="2"/>
      <c r="U10" s="2"/>
      <c r="V10" s="2"/>
      <c r="W10" s="2"/>
    </row>
    <row r="11" spans="1:23" ht="12.75" customHeight="1" x14ac:dyDescent="0.35">
      <c r="A11" s="2"/>
      <c r="B11" s="18"/>
      <c r="C11" s="18"/>
      <c r="D11" s="18"/>
      <c r="E11" s="18"/>
      <c r="F11" s="18"/>
      <c r="G11" s="18"/>
      <c r="H11" s="18"/>
      <c r="I11" s="18"/>
      <c r="J11" s="18"/>
      <c r="K11" s="10"/>
      <c r="L11" s="10"/>
      <c r="M11" s="2"/>
      <c r="N11" s="2"/>
      <c r="O11" s="2"/>
      <c r="P11" s="2"/>
      <c r="Q11" s="2"/>
      <c r="R11" s="2"/>
      <c r="S11" s="2"/>
      <c r="T11" s="2"/>
      <c r="U11" s="2"/>
      <c r="V11" s="2"/>
      <c r="W11" s="2"/>
    </row>
    <row r="12" spans="1:23" ht="31.5" customHeight="1" x14ac:dyDescent="0.35">
      <c r="A12" s="2"/>
      <c r="B12" s="19">
        <v>4</v>
      </c>
      <c r="C12" s="544" t="s">
        <v>10</v>
      </c>
      <c r="D12" s="538"/>
      <c r="E12" s="538"/>
      <c r="F12" s="538"/>
      <c r="G12" s="538"/>
      <c r="H12" s="538"/>
      <c r="I12" s="538"/>
      <c r="J12" s="541"/>
      <c r="K12" s="10"/>
      <c r="L12" s="10"/>
      <c r="M12" s="2"/>
      <c r="N12" s="2"/>
      <c r="O12" s="2"/>
      <c r="P12" s="2"/>
      <c r="Q12" s="2"/>
      <c r="R12" s="2"/>
      <c r="S12" s="2"/>
      <c r="T12" s="2"/>
      <c r="U12" s="2"/>
      <c r="V12" s="2"/>
      <c r="W12" s="2"/>
    </row>
    <row r="13" spans="1:23" ht="12.75" customHeight="1" x14ac:dyDescent="0.3">
      <c r="A13" s="2"/>
      <c r="B13" s="10"/>
      <c r="C13" s="10"/>
      <c r="D13" s="10"/>
      <c r="E13" s="10"/>
      <c r="F13" s="10"/>
      <c r="G13" s="10"/>
      <c r="H13" s="10"/>
      <c r="I13" s="10"/>
      <c r="J13" s="10"/>
      <c r="K13" s="10"/>
      <c r="L13" s="10"/>
      <c r="M13" s="2"/>
      <c r="N13" s="2"/>
      <c r="O13" s="2"/>
      <c r="P13" s="2"/>
      <c r="Q13" s="2"/>
      <c r="R13" s="2"/>
      <c r="S13" s="2"/>
      <c r="T13" s="2"/>
      <c r="U13" s="2"/>
      <c r="V13" s="2"/>
      <c r="W13" s="2"/>
    </row>
    <row r="14" spans="1:23" ht="12.75" customHeight="1" x14ac:dyDescent="0.3">
      <c r="A14" s="2"/>
      <c r="B14" s="10"/>
      <c r="C14" s="10"/>
      <c r="D14" s="10"/>
      <c r="E14" s="10"/>
      <c r="F14" s="10"/>
      <c r="G14" s="10"/>
      <c r="H14" s="10"/>
      <c r="I14" s="10"/>
      <c r="J14" s="10"/>
      <c r="K14" s="10"/>
      <c r="L14" s="10"/>
      <c r="M14" s="2"/>
      <c r="N14" s="2"/>
      <c r="O14" s="2"/>
      <c r="P14" s="2"/>
      <c r="Q14" s="2"/>
      <c r="R14" s="2"/>
      <c r="S14" s="2"/>
      <c r="T14" s="2"/>
      <c r="U14" s="2"/>
      <c r="V14" s="2"/>
      <c r="W14" s="2"/>
    </row>
    <row r="15" spans="1:23" ht="12.75" customHeight="1" x14ac:dyDescent="0.3">
      <c r="A15" s="2"/>
      <c r="B15" s="10"/>
      <c r="C15" s="10"/>
      <c r="D15" s="10"/>
      <c r="E15" s="10"/>
      <c r="F15" s="10"/>
      <c r="G15" s="10"/>
      <c r="H15" s="10"/>
      <c r="I15" s="10"/>
      <c r="J15" s="10"/>
      <c r="K15" s="10"/>
      <c r="L15" s="10"/>
      <c r="M15" s="2"/>
      <c r="N15" s="2"/>
      <c r="O15" s="2"/>
      <c r="P15" s="2"/>
      <c r="Q15" s="2"/>
      <c r="R15" s="2"/>
      <c r="S15" s="2"/>
      <c r="T15" s="2"/>
      <c r="U15" s="2"/>
      <c r="V15" s="2"/>
      <c r="W15" s="2"/>
    </row>
    <row r="16" spans="1:23" ht="12.75" customHeight="1" x14ac:dyDescent="0.3">
      <c r="A16" s="2"/>
      <c r="B16" s="10"/>
      <c r="C16" s="10"/>
      <c r="D16" s="10"/>
      <c r="E16" s="10"/>
      <c r="F16" s="10"/>
      <c r="G16" s="10"/>
      <c r="H16" s="10"/>
      <c r="I16" s="10"/>
      <c r="J16" s="10"/>
      <c r="K16" s="10"/>
      <c r="L16" s="10"/>
      <c r="M16" s="2"/>
      <c r="N16" s="2"/>
      <c r="O16" s="2"/>
      <c r="P16" s="2"/>
      <c r="Q16" s="2"/>
      <c r="R16" s="2"/>
      <c r="S16" s="2"/>
      <c r="T16" s="2"/>
      <c r="U16" s="2"/>
      <c r="V16" s="2"/>
      <c r="W16" s="2"/>
    </row>
    <row r="17" spans="1:23" ht="12.75" customHeight="1" x14ac:dyDescent="0.3">
      <c r="A17" s="2"/>
      <c r="B17" s="10"/>
      <c r="C17" s="10"/>
      <c r="D17" s="10"/>
      <c r="E17" s="10"/>
      <c r="F17" s="10"/>
      <c r="G17" s="10"/>
      <c r="H17" s="10"/>
      <c r="I17" s="10"/>
      <c r="J17" s="10"/>
      <c r="K17" s="10"/>
      <c r="L17" s="10"/>
      <c r="M17" s="2"/>
      <c r="N17" s="2"/>
      <c r="O17" s="2"/>
      <c r="P17" s="2"/>
      <c r="Q17" s="2"/>
      <c r="R17" s="2"/>
      <c r="S17" s="2"/>
      <c r="T17" s="2"/>
      <c r="U17" s="2"/>
      <c r="V17" s="2"/>
      <c r="W17" s="2"/>
    </row>
    <row r="18" spans="1:23" ht="12.75" customHeight="1" x14ac:dyDescent="0.3">
      <c r="A18" s="2"/>
      <c r="B18" s="10"/>
      <c r="C18" s="10"/>
      <c r="D18" s="10"/>
      <c r="E18" s="10"/>
      <c r="F18" s="10"/>
      <c r="G18" s="10"/>
      <c r="H18" s="10"/>
      <c r="I18" s="10"/>
      <c r="J18" s="10"/>
      <c r="K18" s="10"/>
      <c r="L18" s="10"/>
      <c r="M18" s="2"/>
      <c r="N18" s="2"/>
      <c r="O18" s="2"/>
      <c r="P18" s="2"/>
      <c r="Q18" s="2"/>
      <c r="R18" s="2"/>
      <c r="S18" s="2"/>
      <c r="T18" s="2"/>
      <c r="U18" s="2"/>
      <c r="V18" s="2"/>
      <c r="W18" s="2"/>
    </row>
    <row r="19" spans="1:23" ht="12.75" customHeight="1" x14ac:dyDescent="0.3">
      <c r="A19" s="2"/>
      <c r="B19" s="10"/>
      <c r="C19" s="10"/>
      <c r="D19" s="10"/>
      <c r="E19" s="10"/>
      <c r="F19" s="10"/>
      <c r="G19" s="10"/>
      <c r="H19" s="10"/>
      <c r="I19" s="10"/>
      <c r="J19" s="10"/>
      <c r="K19" s="10"/>
      <c r="L19" s="10"/>
      <c r="M19" s="2"/>
      <c r="N19" s="2"/>
      <c r="O19" s="2"/>
      <c r="P19" s="2"/>
      <c r="Q19" s="2"/>
      <c r="R19" s="2"/>
      <c r="S19" s="2"/>
      <c r="T19" s="2"/>
      <c r="U19" s="2"/>
      <c r="V19" s="2"/>
      <c r="W19" s="2"/>
    </row>
    <row r="20" spans="1:23" ht="12.75" customHeight="1" x14ac:dyDescent="0.3">
      <c r="A20" s="2"/>
      <c r="B20" s="10"/>
      <c r="C20" s="10"/>
      <c r="D20" s="10"/>
      <c r="E20" s="10"/>
      <c r="F20" s="10"/>
      <c r="G20" s="10"/>
      <c r="H20" s="10"/>
      <c r="I20" s="10"/>
      <c r="J20" s="10"/>
      <c r="K20" s="10"/>
      <c r="L20" s="10"/>
      <c r="M20" s="2"/>
      <c r="N20" s="2"/>
      <c r="O20" s="2"/>
      <c r="P20" s="2"/>
      <c r="Q20" s="2"/>
      <c r="R20" s="2"/>
      <c r="S20" s="2"/>
      <c r="T20" s="2"/>
      <c r="U20" s="2"/>
      <c r="V20" s="2"/>
      <c r="W20" s="2"/>
    </row>
    <row r="21" spans="1:23" ht="12.75" customHeight="1" x14ac:dyDescent="0.3">
      <c r="A21" s="2"/>
      <c r="B21" s="10"/>
      <c r="C21" s="10"/>
      <c r="D21" s="10"/>
      <c r="E21" s="10"/>
      <c r="F21" s="10"/>
      <c r="G21" s="10"/>
      <c r="H21" s="10"/>
      <c r="I21" s="10"/>
      <c r="J21" s="10"/>
      <c r="K21" s="10"/>
      <c r="L21" s="10"/>
      <c r="M21" s="2"/>
      <c r="N21" s="2"/>
      <c r="O21" s="2"/>
      <c r="P21" s="2"/>
      <c r="Q21" s="2"/>
      <c r="R21" s="2"/>
      <c r="S21" s="2"/>
      <c r="T21" s="2"/>
      <c r="U21" s="2"/>
      <c r="V21" s="2"/>
      <c r="W21" s="2"/>
    </row>
    <row r="22" spans="1:23" ht="12.75" customHeight="1" x14ac:dyDescent="0.3">
      <c r="A22" s="2"/>
      <c r="B22" s="10"/>
      <c r="C22" s="10"/>
      <c r="D22" s="10"/>
      <c r="E22" s="10"/>
      <c r="F22" s="10"/>
      <c r="G22" s="10"/>
      <c r="H22" s="10"/>
      <c r="I22" s="10"/>
      <c r="J22" s="10"/>
      <c r="K22" s="10"/>
      <c r="L22" s="10"/>
      <c r="M22" s="2"/>
      <c r="N22" s="2"/>
      <c r="O22" s="2"/>
      <c r="P22" s="2"/>
      <c r="Q22" s="2"/>
      <c r="R22" s="2"/>
      <c r="S22" s="2"/>
      <c r="T22" s="2"/>
      <c r="U22" s="2"/>
      <c r="V22" s="2"/>
      <c r="W22" s="2"/>
    </row>
    <row r="23" spans="1:23" ht="12.75" customHeight="1" x14ac:dyDescent="0.3">
      <c r="A23" s="2"/>
      <c r="B23" s="10"/>
      <c r="C23" s="10"/>
      <c r="D23" s="10"/>
      <c r="E23" s="10"/>
      <c r="F23" s="10"/>
      <c r="G23" s="10"/>
      <c r="H23" s="10"/>
      <c r="I23" s="10"/>
      <c r="J23" s="10"/>
      <c r="K23" s="10"/>
      <c r="L23" s="10"/>
      <c r="M23" s="2"/>
      <c r="N23" s="2"/>
      <c r="O23" s="2"/>
      <c r="P23" s="2"/>
      <c r="Q23" s="2"/>
      <c r="R23" s="2"/>
      <c r="S23" s="2"/>
      <c r="T23" s="2"/>
      <c r="U23" s="2"/>
      <c r="V23" s="2"/>
      <c r="W23" s="2"/>
    </row>
    <row r="24" spans="1:23" ht="12.75" customHeight="1" x14ac:dyDescent="0.3">
      <c r="A24" s="2"/>
      <c r="B24" s="10"/>
      <c r="C24" s="10"/>
      <c r="D24" s="10"/>
      <c r="E24" s="10"/>
      <c r="F24" s="10"/>
      <c r="G24" s="10"/>
      <c r="H24" s="10"/>
      <c r="I24" s="10"/>
      <c r="J24" s="10"/>
      <c r="K24" s="10"/>
      <c r="L24" s="10"/>
      <c r="M24" s="2"/>
      <c r="N24" s="2"/>
      <c r="O24" s="2"/>
      <c r="P24" s="2"/>
      <c r="Q24" s="2"/>
      <c r="R24" s="2"/>
      <c r="S24" s="2"/>
      <c r="T24" s="2"/>
      <c r="U24" s="2"/>
      <c r="V24" s="2"/>
      <c r="W24" s="2"/>
    </row>
    <row r="25" spans="1:23" ht="12.75" customHeight="1" x14ac:dyDescent="0.3">
      <c r="A25" s="2"/>
      <c r="B25" s="545"/>
      <c r="C25" s="546"/>
      <c r="D25" s="546"/>
      <c r="E25" s="546"/>
      <c r="F25" s="546"/>
      <c r="G25" s="546"/>
      <c r="H25" s="546"/>
      <c r="I25" s="546"/>
      <c r="J25" s="546"/>
      <c r="K25" s="534"/>
      <c r="L25" s="10"/>
      <c r="M25" s="2"/>
      <c r="N25" s="2"/>
      <c r="O25" s="2"/>
      <c r="P25" s="2"/>
      <c r="Q25" s="2"/>
      <c r="R25" s="2"/>
      <c r="S25" s="2"/>
      <c r="T25" s="2"/>
      <c r="U25" s="2"/>
      <c r="V25" s="2"/>
      <c r="W25" s="2"/>
    </row>
    <row r="26" spans="1:23" ht="12.75" customHeight="1" x14ac:dyDescent="0.3">
      <c r="A26" s="2"/>
      <c r="B26" s="10"/>
      <c r="C26" s="10"/>
      <c r="D26" s="10"/>
      <c r="E26" s="10"/>
      <c r="F26" s="10"/>
      <c r="G26" s="10"/>
      <c r="H26" s="10"/>
      <c r="I26" s="10"/>
      <c r="J26" s="10"/>
      <c r="K26" s="10"/>
      <c r="L26" s="10"/>
      <c r="M26" s="2"/>
      <c r="N26" s="2"/>
      <c r="O26" s="2"/>
      <c r="P26" s="2"/>
      <c r="Q26" s="2"/>
      <c r="R26" s="2"/>
      <c r="S26" s="2"/>
      <c r="T26" s="2"/>
      <c r="U26" s="2"/>
      <c r="V26" s="2"/>
      <c r="W26" s="2"/>
    </row>
    <row r="27" spans="1:23" ht="12.75" customHeight="1" x14ac:dyDescent="0.3">
      <c r="A27" s="2"/>
      <c r="B27" s="2"/>
      <c r="C27" s="2"/>
      <c r="D27" s="2"/>
      <c r="E27" s="2"/>
      <c r="F27" s="2"/>
      <c r="G27" s="2"/>
      <c r="H27" s="2"/>
      <c r="I27" s="2"/>
      <c r="J27" s="2"/>
      <c r="K27" s="2"/>
      <c r="L27" s="2"/>
      <c r="M27" s="2"/>
      <c r="N27" s="2"/>
      <c r="O27" s="2"/>
      <c r="P27" s="2"/>
      <c r="Q27" s="2"/>
      <c r="R27" s="2"/>
      <c r="S27" s="2"/>
      <c r="T27" s="2"/>
      <c r="U27" s="2"/>
      <c r="V27" s="2"/>
      <c r="W27" s="2"/>
    </row>
    <row r="28" spans="1:23" ht="12.75" customHeight="1" x14ac:dyDescent="0.3">
      <c r="A28" s="2"/>
      <c r="B28" s="2"/>
      <c r="C28" s="2"/>
      <c r="D28" s="2"/>
      <c r="E28" s="2"/>
      <c r="F28" s="2"/>
      <c r="G28" s="2"/>
      <c r="H28" s="2"/>
      <c r="I28" s="2"/>
      <c r="J28" s="2"/>
      <c r="K28" s="2"/>
      <c r="L28" s="2"/>
      <c r="M28" s="2"/>
      <c r="N28" s="2"/>
      <c r="O28" s="2"/>
      <c r="P28" s="2"/>
      <c r="Q28" s="2"/>
      <c r="R28" s="2"/>
      <c r="S28" s="2"/>
      <c r="T28" s="2"/>
      <c r="U28" s="2"/>
      <c r="V28" s="2"/>
      <c r="W28" s="2"/>
    </row>
    <row r="29" spans="1:23" ht="12.75" customHeight="1" x14ac:dyDescent="0.3">
      <c r="A29" s="2"/>
      <c r="B29" s="2"/>
      <c r="C29" s="2"/>
      <c r="D29" s="2"/>
      <c r="E29" s="2"/>
      <c r="F29" s="2"/>
      <c r="G29" s="2"/>
      <c r="H29" s="2"/>
      <c r="I29" s="2"/>
      <c r="J29" s="2"/>
      <c r="K29" s="2"/>
      <c r="L29" s="2"/>
      <c r="M29" s="2"/>
      <c r="N29" s="2"/>
      <c r="O29" s="2"/>
      <c r="P29" s="2"/>
      <c r="Q29" s="2"/>
      <c r="R29" s="2"/>
      <c r="S29" s="2"/>
      <c r="T29" s="2"/>
      <c r="U29" s="2"/>
      <c r="V29" s="2"/>
      <c r="W29" s="2"/>
    </row>
    <row r="30" spans="1:23" ht="12.75" customHeight="1" x14ac:dyDescent="0.3">
      <c r="A30" s="2"/>
      <c r="B30" s="2"/>
      <c r="C30" s="2"/>
      <c r="D30" s="2"/>
      <c r="E30" s="2"/>
      <c r="F30" s="2"/>
      <c r="G30" s="2"/>
      <c r="H30" s="2"/>
      <c r="I30" s="2"/>
      <c r="J30" s="2"/>
      <c r="K30" s="2"/>
      <c r="L30" s="2"/>
      <c r="M30" s="2"/>
      <c r="N30" s="2"/>
      <c r="O30" s="2"/>
      <c r="P30" s="2"/>
      <c r="Q30" s="2"/>
      <c r="R30" s="2"/>
      <c r="S30" s="2"/>
      <c r="T30" s="2"/>
      <c r="U30" s="2"/>
      <c r="V30" s="2"/>
      <c r="W30" s="2"/>
    </row>
    <row r="31" spans="1:23" ht="12.75" customHeight="1" x14ac:dyDescent="0.3">
      <c r="A31" s="2"/>
      <c r="B31" s="2"/>
      <c r="C31" s="2"/>
      <c r="D31" s="2"/>
      <c r="E31" s="2"/>
      <c r="F31" s="2"/>
      <c r="G31" s="2"/>
      <c r="H31" s="2"/>
      <c r="I31" s="2"/>
      <c r="J31" s="2"/>
      <c r="K31" s="2"/>
      <c r="L31" s="2"/>
      <c r="M31" s="2"/>
      <c r="N31" s="2"/>
      <c r="O31" s="2"/>
      <c r="P31" s="2"/>
      <c r="Q31" s="2"/>
      <c r="R31" s="2"/>
      <c r="S31" s="2"/>
      <c r="T31" s="2"/>
      <c r="U31" s="2"/>
      <c r="V31" s="2"/>
      <c r="W31" s="2"/>
    </row>
    <row r="32" spans="1:23" ht="12.75" customHeight="1" x14ac:dyDescent="0.3">
      <c r="A32" s="2"/>
      <c r="B32" s="2"/>
      <c r="C32" s="2"/>
      <c r="D32" s="2"/>
      <c r="E32" s="2"/>
      <c r="F32" s="2"/>
      <c r="G32" s="2"/>
      <c r="H32" s="2"/>
      <c r="I32" s="2"/>
      <c r="J32" s="2"/>
      <c r="K32" s="2"/>
      <c r="L32" s="2"/>
      <c r="M32" s="2"/>
      <c r="N32" s="2"/>
      <c r="O32" s="2"/>
      <c r="P32" s="2"/>
      <c r="Q32" s="2"/>
      <c r="R32" s="2"/>
      <c r="S32" s="2"/>
      <c r="T32" s="2"/>
      <c r="U32" s="2"/>
      <c r="V32" s="2"/>
      <c r="W32" s="2"/>
    </row>
    <row r="33" spans="1:23" ht="12.75" customHeight="1" x14ac:dyDescent="0.3">
      <c r="A33" s="2"/>
      <c r="B33" s="2"/>
      <c r="C33" s="2"/>
      <c r="D33" s="2"/>
      <c r="E33" s="2"/>
      <c r="F33" s="2"/>
      <c r="G33" s="2"/>
      <c r="H33" s="2"/>
      <c r="I33" s="2"/>
      <c r="J33" s="2"/>
      <c r="K33" s="2"/>
      <c r="L33" s="2"/>
      <c r="M33" s="2"/>
      <c r="N33" s="2"/>
      <c r="O33" s="2"/>
      <c r="P33" s="2"/>
      <c r="Q33" s="2"/>
      <c r="R33" s="2"/>
      <c r="S33" s="2"/>
      <c r="T33" s="2"/>
      <c r="U33" s="2"/>
      <c r="V33" s="2"/>
      <c r="W33" s="2"/>
    </row>
    <row r="34" spans="1:23" ht="12.75" customHeight="1" x14ac:dyDescent="0.3">
      <c r="A34" s="2"/>
      <c r="B34" s="2"/>
      <c r="C34" s="2"/>
      <c r="D34" s="2"/>
      <c r="E34" s="2"/>
      <c r="F34" s="2"/>
      <c r="G34" s="2"/>
      <c r="H34" s="2"/>
      <c r="I34" s="2"/>
      <c r="J34" s="2"/>
      <c r="K34" s="2"/>
      <c r="L34" s="2"/>
      <c r="M34" s="2"/>
      <c r="N34" s="2"/>
      <c r="O34" s="2"/>
      <c r="P34" s="2"/>
      <c r="Q34" s="2"/>
      <c r="R34" s="2"/>
      <c r="S34" s="2"/>
      <c r="T34" s="2"/>
      <c r="U34" s="2"/>
      <c r="V34" s="2"/>
      <c r="W34" s="2"/>
    </row>
    <row r="35" spans="1:23" ht="12.75" customHeight="1" x14ac:dyDescent="0.3">
      <c r="A35" s="2"/>
      <c r="B35" s="2"/>
      <c r="C35" s="2"/>
      <c r="D35" s="2"/>
      <c r="E35" s="2"/>
      <c r="F35" s="2"/>
      <c r="G35" s="2"/>
      <c r="H35" s="2"/>
      <c r="I35" s="2"/>
      <c r="J35" s="2"/>
      <c r="K35" s="2"/>
      <c r="L35" s="2"/>
      <c r="M35" s="2"/>
      <c r="N35" s="2"/>
      <c r="O35" s="2"/>
      <c r="P35" s="2"/>
      <c r="Q35" s="2"/>
      <c r="R35" s="2"/>
      <c r="S35" s="2"/>
      <c r="T35" s="2"/>
      <c r="U35" s="2"/>
      <c r="V35" s="2"/>
      <c r="W35" s="2"/>
    </row>
    <row r="36" spans="1:23" ht="12.75" customHeight="1" x14ac:dyDescent="0.3">
      <c r="A36" s="2"/>
      <c r="B36" s="2"/>
      <c r="C36" s="2"/>
      <c r="D36" s="2"/>
      <c r="E36" s="2"/>
      <c r="F36" s="2"/>
      <c r="G36" s="2"/>
      <c r="H36" s="2"/>
      <c r="I36" s="2"/>
      <c r="J36" s="2"/>
      <c r="K36" s="2"/>
      <c r="L36" s="2"/>
      <c r="M36" s="2"/>
      <c r="N36" s="2"/>
      <c r="O36" s="2"/>
      <c r="P36" s="2"/>
      <c r="Q36" s="2"/>
      <c r="R36" s="2"/>
      <c r="S36" s="2"/>
      <c r="T36" s="2"/>
      <c r="U36" s="2"/>
      <c r="V36" s="2"/>
      <c r="W36" s="2"/>
    </row>
    <row r="37" spans="1:23" ht="12.75" customHeight="1" x14ac:dyDescent="0.3">
      <c r="A37" s="2"/>
      <c r="B37" s="2"/>
      <c r="C37" s="2"/>
      <c r="D37" s="2"/>
      <c r="E37" s="2"/>
      <c r="F37" s="2"/>
      <c r="G37" s="2"/>
      <c r="H37" s="2"/>
      <c r="I37" s="2"/>
      <c r="J37" s="2"/>
      <c r="K37" s="2"/>
      <c r="L37" s="2"/>
      <c r="M37" s="2"/>
      <c r="N37" s="2"/>
      <c r="O37" s="2"/>
      <c r="P37" s="2"/>
      <c r="Q37" s="2"/>
      <c r="R37" s="2"/>
      <c r="S37" s="2"/>
      <c r="T37" s="2"/>
      <c r="U37" s="2"/>
      <c r="V37" s="2"/>
      <c r="W37" s="2"/>
    </row>
    <row r="38" spans="1:23" ht="12.75" customHeight="1" x14ac:dyDescent="0.3">
      <c r="A38" s="2"/>
      <c r="B38" s="2"/>
      <c r="C38" s="2"/>
      <c r="D38" s="2"/>
      <c r="E38" s="2"/>
      <c r="F38" s="2"/>
      <c r="G38" s="2"/>
      <c r="H38" s="2"/>
      <c r="I38" s="2"/>
      <c r="J38" s="2"/>
      <c r="K38" s="2"/>
      <c r="L38" s="2"/>
      <c r="M38" s="2"/>
      <c r="N38" s="2"/>
      <c r="O38" s="2"/>
      <c r="P38" s="2"/>
      <c r="Q38" s="2"/>
      <c r="R38" s="2"/>
      <c r="S38" s="2"/>
      <c r="T38" s="2"/>
      <c r="U38" s="2"/>
      <c r="V38" s="2"/>
      <c r="W38" s="2"/>
    </row>
    <row r="39" spans="1:23" ht="12.75" customHeight="1" x14ac:dyDescent="0.3">
      <c r="A39" s="2"/>
      <c r="B39" s="2"/>
      <c r="C39" s="2"/>
      <c r="D39" s="2"/>
      <c r="E39" s="2"/>
      <c r="F39" s="2"/>
      <c r="G39" s="2"/>
      <c r="H39" s="2"/>
      <c r="I39" s="2"/>
      <c r="J39" s="2"/>
      <c r="K39" s="2"/>
      <c r="L39" s="2"/>
      <c r="M39" s="2"/>
      <c r="N39" s="2"/>
      <c r="O39" s="2"/>
      <c r="P39" s="2"/>
      <c r="Q39" s="2"/>
      <c r="R39" s="2"/>
      <c r="S39" s="2"/>
      <c r="T39" s="2"/>
      <c r="U39" s="2"/>
      <c r="V39" s="2"/>
      <c r="W39" s="2"/>
    </row>
    <row r="40" spans="1:23" ht="12.75" customHeight="1" x14ac:dyDescent="0.3">
      <c r="A40" s="2"/>
      <c r="B40" s="2"/>
      <c r="C40" s="2"/>
      <c r="D40" s="2"/>
      <c r="E40" s="2"/>
      <c r="F40" s="2"/>
      <c r="G40" s="2"/>
      <c r="H40" s="2"/>
      <c r="I40" s="2"/>
      <c r="J40" s="2"/>
      <c r="K40" s="2"/>
      <c r="L40" s="2"/>
      <c r="M40" s="2"/>
      <c r="N40" s="2"/>
      <c r="O40" s="2"/>
      <c r="P40" s="2"/>
      <c r="Q40" s="2"/>
      <c r="R40" s="2"/>
      <c r="S40" s="2"/>
      <c r="T40" s="2"/>
      <c r="U40" s="2"/>
      <c r="V40" s="2"/>
      <c r="W40" s="2"/>
    </row>
    <row r="41" spans="1:23" ht="12.75" customHeight="1" x14ac:dyDescent="0.3">
      <c r="A41" s="2"/>
      <c r="B41" s="2"/>
      <c r="C41" s="2"/>
      <c r="D41" s="2"/>
      <c r="E41" s="2"/>
      <c r="F41" s="2"/>
      <c r="G41" s="2"/>
      <c r="H41" s="2"/>
      <c r="I41" s="2"/>
      <c r="J41" s="2"/>
      <c r="K41" s="2"/>
      <c r="L41" s="2"/>
      <c r="M41" s="2"/>
      <c r="N41" s="2"/>
      <c r="O41" s="2"/>
      <c r="P41" s="2"/>
      <c r="Q41" s="2"/>
      <c r="R41" s="2"/>
      <c r="S41" s="2"/>
      <c r="T41" s="2"/>
      <c r="U41" s="2"/>
      <c r="V41" s="2"/>
      <c r="W41" s="2"/>
    </row>
    <row r="42" spans="1:23" ht="12.75" customHeight="1" x14ac:dyDescent="0.3">
      <c r="A42" s="2"/>
      <c r="B42" s="2"/>
      <c r="C42" s="2"/>
      <c r="D42" s="2"/>
      <c r="E42" s="2"/>
      <c r="F42" s="2"/>
      <c r="G42" s="2"/>
      <c r="H42" s="2"/>
      <c r="I42" s="2"/>
      <c r="J42" s="2"/>
      <c r="K42" s="2"/>
      <c r="L42" s="2"/>
      <c r="M42" s="2"/>
      <c r="N42" s="2"/>
      <c r="O42" s="2"/>
      <c r="P42" s="2"/>
      <c r="Q42" s="2"/>
      <c r="R42" s="2"/>
      <c r="S42" s="2"/>
      <c r="T42" s="2"/>
      <c r="U42" s="2"/>
      <c r="V42" s="2"/>
      <c r="W42" s="2"/>
    </row>
    <row r="43" spans="1:23" ht="12.75" customHeight="1" x14ac:dyDescent="0.3">
      <c r="A43" s="2"/>
      <c r="B43" s="2"/>
      <c r="C43" s="2"/>
      <c r="D43" s="2"/>
      <c r="E43" s="2"/>
      <c r="F43" s="2"/>
      <c r="G43" s="2"/>
      <c r="H43" s="2"/>
      <c r="I43" s="2"/>
      <c r="J43" s="2"/>
      <c r="K43" s="2"/>
      <c r="L43" s="2"/>
      <c r="M43" s="2"/>
      <c r="N43" s="2"/>
      <c r="O43" s="2"/>
      <c r="P43" s="2"/>
      <c r="Q43" s="2"/>
      <c r="R43" s="2"/>
      <c r="S43" s="2"/>
      <c r="T43" s="2"/>
      <c r="U43" s="2"/>
      <c r="V43" s="2"/>
      <c r="W43" s="2"/>
    </row>
    <row r="44" spans="1:23" ht="12.75" customHeight="1" x14ac:dyDescent="0.3">
      <c r="A44" s="2"/>
      <c r="B44" s="2"/>
      <c r="C44" s="2"/>
      <c r="D44" s="2"/>
      <c r="E44" s="2"/>
      <c r="F44" s="2"/>
      <c r="G44" s="2"/>
      <c r="H44" s="2"/>
      <c r="I44" s="2"/>
      <c r="J44" s="2"/>
      <c r="K44" s="2"/>
      <c r="L44" s="2"/>
      <c r="M44" s="2"/>
      <c r="N44" s="2"/>
      <c r="O44" s="2"/>
      <c r="P44" s="2"/>
      <c r="Q44" s="2"/>
      <c r="R44" s="2"/>
      <c r="S44" s="2"/>
      <c r="T44" s="2"/>
      <c r="U44" s="2"/>
      <c r="V44" s="2"/>
      <c r="W44" s="2"/>
    </row>
    <row r="45" spans="1:23" ht="12.75" customHeight="1" x14ac:dyDescent="0.3">
      <c r="A45" s="2"/>
      <c r="B45" s="2"/>
      <c r="C45" s="2"/>
      <c r="D45" s="2"/>
      <c r="E45" s="2"/>
      <c r="F45" s="2"/>
      <c r="G45" s="2"/>
      <c r="H45" s="2"/>
      <c r="I45" s="2"/>
      <c r="J45" s="2"/>
      <c r="K45" s="2"/>
      <c r="L45" s="2"/>
      <c r="M45" s="2"/>
      <c r="N45" s="2"/>
      <c r="O45" s="2"/>
      <c r="P45" s="2"/>
      <c r="Q45" s="2"/>
      <c r="R45" s="2"/>
      <c r="S45" s="2"/>
      <c r="T45" s="2"/>
      <c r="U45" s="2"/>
      <c r="V45" s="2"/>
      <c r="W45" s="2"/>
    </row>
    <row r="46" spans="1:23" ht="12.75" customHeight="1" x14ac:dyDescent="0.3">
      <c r="A46" s="2"/>
      <c r="B46" s="2"/>
      <c r="C46" s="2"/>
      <c r="D46" s="2"/>
      <c r="E46" s="2"/>
      <c r="F46" s="2"/>
      <c r="G46" s="2"/>
      <c r="H46" s="2"/>
      <c r="I46" s="2"/>
      <c r="J46" s="2"/>
      <c r="K46" s="2"/>
      <c r="L46" s="2"/>
      <c r="M46" s="2"/>
      <c r="N46" s="2"/>
      <c r="O46" s="2"/>
      <c r="P46" s="2"/>
      <c r="Q46" s="2"/>
      <c r="R46" s="2"/>
      <c r="S46" s="2"/>
      <c r="T46" s="2"/>
      <c r="U46" s="2"/>
      <c r="V46" s="2"/>
      <c r="W46" s="2"/>
    </row>
    <row r="47" spans="1:23" ht="12.75" customHeight="1" x14ac:dyDescent="0.3">
      <c r="A47" s="2"/>
      <c r="B47" s="2"/>
      <c r="C47" s="2"/>
      <c r="D47" s="2"/>
      <c r="E47" s="2"/>
      <c r="F47" s="2"/>
      <c r="G47" s="2"/>
      <c r="H47" s="2"/>
      <c r="I47" s="2"/>
      <c r="J47" s="2"/>
      <c r="K47" s="2"/>
      <c r="L47" s="2"/>
      <c r="M47" s="2"/>
      <c r="N47" s="2"/>
      <c r="O47" s="2"/>
      <c r="P47" s="2"/>
      <c r="Q47" s="2"/>
      <c r="R47" s="2"/>
      <c r="S47" s="2"/>
      <c r="T47" s="2"/>
      <c r="U47" s="2"/>
      <c r="V47" s="2"/>
      <c r="W47" s="2"/>
    </row>
    <row r="48" spans="1:23" ht="12.75" customHeight="1" x14ac:dyDescent="0.3">
      <c r="A48" s="2"/>
      <c r="B48" s="2"/>
      <c r="C48" s="2"/>
      <c r="D48" s="2"/>
      <c r="E48" s="2"/>
      <c r="F48" s="2"/>
      <c r="G48" s="2"/>
      <c r="H48" s="2"/>
      <c r="I48" s="2"/>
      <c r="J48" s="2"/>
      <c r="K48" s="2"/>
      <c r="L48" s="2"/>
      <c r="M48" s="2"/>
      <c r="N48" s="2"/>
      <c r="O48" s="2"/>
      <c r="P48" s="2"/>
      <c r="Q48" s="2"/>
      <c r="R48" s="2"/>
      <c r="S48" s="2"/>
      <c r="T48" s="2"/>
      <c r="U48" s="2"/>
      <c r="V48" s="2"/>
      <c r="W48" s="2"/>
    </row>
    <row r="49" spans="1:23" ht="12.75" customHeight="1" x14ac:dyDescent="0.3">
      <c r="A49" s="2"/>
      <c r="B49" s="2"/>
      <c r="C49" s="2"/>
      <c r="D49" s="2"/>
      <c r="E49" s="2"/>
      <c r="F49" s="2"/>
      <c r="G49" s="2"/>
      <c r="H49" s="2"/>
      <c r="I49" s="2"/>
      <c r="J49" s="2"/>
      <c r="K49" s="2"/>
      <c r="L49" s="2"/>
      <c r="M49" s="2"/>
      <c r="N49" s="2"/>
      <c r="O49" s="2"/>
      <c r="P49" s="2"/>
      <c r="Q49" s="2"/>
      <c r="R49" s="2"/>
      <c r="S49" s="2"/>
      <c r="T49" s="2"/>
      <c r="U49" s="2"/>
      <c r="V49" s="2"/>
      <c r="W49" s="2"/>
    </row>
    <row r="50" spans="1:23" ht="12.75" customHeight="1" x14ac:dyDescent="0.3">
      <c r="A50" s="2"/>
      <c r="B50" s="2"/>
      <c r="C50" s="2"/>
      <c r="D50" s="2"/>
      <c r="E50" s="2"/>
      <c r="F50" s="2"/>
      <c r="G50" s="2"/>
      <c r="H50" s="2"/>
      <c r="I50" s="2"/>
      <c r="J50" s="2"/>
      <c r="K50" s="2"/>
      <c r="L50" s="2"/>
      <c r="M50" s="2"/>
      <c r="N50" s="2"/>
      <c r="O50" s="2"/>
      <c r="P50" s="2"/>
      <c r="Q50" s="2"/>
      <c r="R50" s="2"/>
      <c r="S50" s="2"/>
      <c r="T50" s="2"/>
      <c r="U50" s="2"/>
      <c r="V50" s="2"/>
      <c r="W50" s="2"/>
    </row>
    <row r="51" spans="1:23" ht="12.75" customHeight="1" x14ac:dyDescent="0.3">
      <c r="A51" s="2"/>
      <c r="B51" s="2"/>
      <c r="C51" s="2"/>
      <c r="D51" s="2"/>
      <c r="E51" s="2"/>
      <c r="F51" s="2"/>
      <c r="G51" s="2"/>
      <c r="H51" s="2"/>
      <c r="I51" s="2"/>
      <c r="J51" s="2"/>
      <c r="K51" s="2"/>
      <c r="L51" s="2"/>
      <c r="M51" s="2"/>
      <c r="N51" s="2"/>
      <c r="O51" s="2"/>
      <c r="P51" s="2"/>
      <c r="Q51" s="2"/>
      <c r="R51" s="2"/>
      <c r="S51" s="2"/>
      <c r="T51" s="2"/>
      <c r="U51" s="2"/>
      <c r="V51" s="2"/>
      <c r="W51" s="2"/>
    </row>
    <row r="52" spans="1:23" ht="12.75" customHeight="1" x14ac:dyDescent="0.3">
      <c r="A52" s="2"/>
      <c r="B52" s="2"/>
      <c r="C52" s="2"/>
      <c r="D52" s="2"/>
      <c r="E52" s="2"/>
      <c r="F52" s="2"/>
      <c r="G52" s="2"/>
      <c r="H52" s="2"/>
      <c r="I52" s="2"/>
      <c r="J52" s="2"/>
      <c r="K52" s="2"/>
      <c r="L52" s="2"/>
      <c r="M52" s="2"/>
      <c r="N52" s="2"/>
      <c r="O52" s="2"/>
      <c r="P52" s="2"/>
      <c r="Q52" s="2"/>
      <c r="R52" s="2"/>
      <c r="S52" s="2"/>
      <c r="T52" s="2"/>
      <c r="U52" s="2"/>
      <c r="V52" s="2"/>
      <c r="W52" s="2"/>
    </row>
    <row r="53" spans="1:23" ht="12.75" customHeight="1" x14ac:dyDescent="0.3">
      <c r="A53" s="2"/>
      <c r="B53" s="2"/>
      <c r="C53" s="2"/>
      <c r="D53" s="2"/>
      <c r="E53" s="2"/>
      <c r="F53" s="2"/>
      <c r="G53" s="2"/>
      <c r="H53" s="2"/>
      <c r="I53" s="2"/>
      <c r="J53" s="2"/>
      <c r="K53" s="2"/>
      <c r="L53" s="2"/>
      <c r="M53" s="2"/>
      <c r="N53" s="2"/>
      <c r="O53" s="2"/>
      <c r="P53" s="2"/>
      <c r="Q53" s="2"/>
      <c r="R53" s="2"/>
      <c r="S53" s="2"/>
      <c r="T53" s="2"/>
      <c r="U53" s="2"/>
      <c r="V53" s="2"/>
      <c r="W53" s="2"/>
    </row>
    <row r="54" spans="1:23" ht="12.75" customHeight="1" x14ac:dyDescent="0.3">
      <c r="A54" s="2"/>
      <c r="B54" s="2"/>
      <c r="C54" s="2"/>
      <c r="D54" s="2"/>
      <c r="E54" s="2"/>
      <c r="F54" s="2"/>
      <c r="G54" s="2"/>
      <c r="H54" s="2"/>
      <c r="I54" s="2"/>
      <c r="J54" s="2"/>
      <c r="K54" s="2"/>
      <c r="L54" s="2"/>
      <c r="M54" s="2"/>
      <c r="N54" s="2"/>
      <c r="O54" s="2"/>
      <c r="P54" s="2"/>
      <c r="Q54" s="2"/>
      <c r="R54" s="2"/>
      <c r="S54" s="2"/>
      <c r="T54" s="2"/>
      <c r="U54" s="2"/>
      <c r="V54" s="2"/>
      <c r="W54" s="2"/>
    </row>
    <row r="55" spans="1:23" ht="12.75" customHeight="1" x14ac:dyDescent="0.3">
      <c r="A55" s="2"/>
      <c r="B55" s="2"/>
      <c r="C55" s="2"/>
      <c r="D55" s="2"/>
      <c r="E55" s="2"/>
      <c r="F55" s="2"/>
      <c r="G55" s="2"/>
      <c r="H55" s="2"/>
      <c r="I55" s="2"/>
      <c r="J55" s="2"/>
      <c r="K55" s="2"/>
      <c r="L55" s="2"/>
      <c r="M55" s="2"/>
      <c r="N55" s="2"/>
      <c r="O55" s="2"/>
      <c r="P55" s="2"/>
      <c r="Q55" s="2"/>
      <c r="R55" s="2"/>
      <c r="S55" s="2"/>
      <c r="T55" s="2"/>
      <c r="U55" s="2"/>
      <c r="V55" s="2"/>
      <c r="W55" s="2"/>
    </row>
    <row r="56" spans="1:23" ht="12.75" customHeight="1" x14ac:dyDescent="0.3">
      <c r="A56" s="2"/>
      <c r="B56" s="2"/>
      <c r="C56" s="2"/>
      <c r="D56" s="2"/>
      <c r="E56" s="2"/>
      <c r="F56" s="2"/>
      <c r="G56" s="2"/>
      <c r="H56" s="2"/>
      <c r="I56" s="2"/>
      <c r="J56" s="2"/>
      <c r="K56" s="2"/>
      <c r="L56" s="2"/>
      <c r="M56" s="2"/>
      <c r="N56" s="2"/>
      <c r="O56" s="2"/>
      <c r="P56" s="2"/>
      <c r="Q56" s="2"/>
      <c r="R56" s="2"/>
      <c r="S56" s="2"/>
      <c r="T56" s="2"/>
      <c r="U56" s="2"/>
      <c r="V56" s="2"/>
      <c r="W56" s="2"/>
    </row>
    <row r="57" spans="1:23" ht="12.75" customHeight="1" x14ac:dyDescent="0.3">
      <c r="A57" s="2"/>
      <c r="B57" s="2"/>
      <c r="C57" s="2"/>
      <c r="D57" s="2"/>
      <c r="E57" s="2"/>
      <c r="F57" s="2"/>
      <c r="G57" s="2"/>
      <c r="H57" s="2"/>
      <c r="I57" s="2"/>
      <c r="J57" s="2"/>
      <c r="K57" s="2"/>
      <c r="L57" s="2"/>
      <c r="M57" s="2"/>
      <c r="N57" s="2"/>
      <c r="O57" s="2"/>
      <c r="P57" s="2"/>
      <c r="Q57" s="2"/>
      <c r="R57" s="2"/>
      <c r="S57" s="2"/>
      <c r="T57" s="2"/>
      <c r="U57" s="2"/>
      <c r="V57" s="2"/>
      <c r="W57" s="2"/>
    </row>
    <row r="58" spans="1:23" ht="12.75" customHeight="1" x14ac:dyDescent="0.3">
      <c r="A58" s="2"/>
      <c r="B58" s="2"/>
      <c r="C58" s="2"/>
      <c r="D58" s="2"/>
      <c r="E58" s="2"/>
      <c r="F58" s="2"/>
      <c r="G58" s="2"/>
      <c r="H58" s="2"/>
      <c r="I58" s="2"/>
      <c r="J58" s="2"/>
      <c r="K58" s="2"/>
      <c r="L58" s="2"/>
      <c r="M58" s="2"/>
      <c r="N58" s="2"/>
      <c r="O58" s="2"/>
      <c r="P58" s="2"/>
      <c r="Q58" s="2"/>
      <c r="R58" s="2"/>
      <c r="S58" s="2"/>
      <c r="T58" s="2"/>
      <c r="U58" s="2"/>
      <c r="V58" s="2"/>
      <c r="W58" s="2"/>
    </row>
    <row r="59" spans="1:23" ht="12.75" customHeight="1" x14ac:dyDescent="0.3">
      <c r="A59" s="2"/>
      <c r="B59" s="2"/>
      <c r="C59" s="2"/>
      <c r="D59" s="2"/>
      <c r="E59" s="2"/>
      <c r="F59" s="2"/>
      <c r="G59" s="2"/>
      <c r="H59" s="2"/>
      <c r="I59" s="2"/>
      <c r="J59" s="2"/>
      <c r="K59" s="2"/>
      <c r="L59" s="2"/>
      <c r="M59" s="2"/>
      <c r="N59" s="2"/>
      <c r="O59" s="2"/>
      <c r="P59" s="2"/>
      <c r="Q59" s="2"/>
      <c r="R59" s="2"/>
      <c r="S59" s="2"/>
      <c r="T59" s="2"/>
      <c r="U59" s="2"/>
      <c r="V59" s="2"/>
      <c r="W59" s="2"/>
    </row>
    <row r="60" spans="1:23" ht="12.75" customHeight="1" x14ac:dyDescent="0.3">
      <c r="A60" s="2"/>
      <c r="B60" s="2"/>
      <c r="C60" s="2"/>
      <c r="D60" s="2"/>
      <c r="E60" s="2"/>
      <c r="F60" s="2"/>
      <c r="G60" s="2"/>
      <c r="H60" s="2"/>
      <c r="I60" s="2"/>
      <c r="J60" s="2"/>
      <c r="K60" s="2"/>
      <c r="L60" s="2"/>
      <c r="M60" s="2"/>
      <c r="N60" s="2"/>
      <c r="O60" s="2"/>
      <c r="P60" s="2"/>
      <c r="Q60" s="2"/>
      <c r="R60" s="2"/>
      <c r="S60" s="2"/>
      <c r="T60" s="2"/>
      <c r="U60" s="2"/>
      <c r="V60" s="2"/>
      <c r="W60" s="2"/>
    </row>
    <row r="61" spans="1:23" ht="12.75" customHeight="1" x14ac:dyDescent="0.3">
      <c r="A61" s="2"/>
      <c r="B61" s="2"/>
      <c r="C61" s="2"/>
      <c r="D61" s="2"/>
      <c r="E61" s="2"/>
      <c r="F61" s="2"/>
      <c r="G61" s="2"/>
      <c r="H61" s="2"/>
      <c r="I61" s="2"/>
      <c r="J61" s="2"/>
      <c r="K61" s="2"/>
      <c r="L61" s="2"/>
      <c r="M61" s="2"/>
      <c r="N61" s="2"/>
      <c r="O61" s="2"/>
      <c r="P61" s="2"/>
      <c r="Q61" s="2"/>
      <c r="R61" s="2"/>
      <c r="S61" s="2"/>
      <c r="T61" s="2"/>
      <c r="U61" s="2"/>
      <c r="V61" s="2"/>
      <c r="W61" s="2"/>
    </row>
    <row r="62" spans="1:23" ht="12.75" customHeight="1" x14ac:dyDescent="0.3">
      <c r="A62" s="2"/>
      <c r="B62" s="2"/>
      <c r="C62" s="2"/>
      <c r="D62" s="2"/>
      <c r="E62" s="2"/>
      <c r="F62" s="2"/>
      <c r="G62" s="2"/>
      <c r="H62" s="2"/>
      <c r="I62" s="2"/>
      <c r="J62" s="2"/>
      <c r="K62" s="2"/>
      <c r="L62" s="2"/>
      <c r="M62" s="2"/>
      <c r="N62" s="2"/>
      <c r="O62" s="2"/>
      <c r="P62" s="2"/>
      <c r="Q62" s="2"/>
      <c r="R62" s="2"/>
      <c r="S62" s="2"/>
      <c r="T62" s="2"/>
      <c r="U62" s="2"/>
      <c r="V62" s="2"/>
      <c r="W62" s="2"/>
    </row>
    <row r="63" spans="1:23" ht="12.75" customHeight="1" x14ac:dyDescent="0.3">
      <c r="A63" s="2"/>
      <c r="B63" s="2"/>
      <c r="C63" s="2"/>
      <c r="D63" s="2"/>
      <c r="E63" s="2"/>
      <c r="F63" s="2"/>
      <c r="G63" s="2"/>
      <c r="H63" s="2"/>
      <c r="I63" s="2"/>
      <c r="J63" s="2"/>
      <c r="K63" s="2"/>
      <c r="L63" s="2"/>
      <c r="M63" s="2"/>
      <c r="N63" s="2"/>
      <c r="O63" s="2"/>
      <c r="P63" s="2"/>
      <c r="Q63" s="2"/>
      <c r="R63" s="2"/>
      <c r="S63" s="2"/>
      <c r="T63" s="2"/>
      <c r="U63" s="2"/>
      <c r="V63" s="2"/>
      <c r="W63" s="2"/>
    </row>
    <row r="64" spans="1:23" ht="12.75" customHeight="1" x14ac:dyDescent="0.3">
      <c r="A64" s="2"/>
      <c r="B64" s="2"/>
      <c r="C64" s="2"/>
      <c r="D64" s="2"/>
      <c r="E64" s="2"/>
      <c r="F64" s="2"/>
      <c r="G64" s="2"/>
      <c r="H64" s="2"/>
      <c r="I64" s="2"/>
      <c r="J64" s="2"/>
      <c r="K64" s="2"/>
      <c r="L64" s="2"/>
      <c r="M64" s="2"/>
      <c r="N64" s="2"/>
      <c r="O64" s="2"/>
      <c r="P64" s="2"/>
      <c r="Q64" s="2"/>
      <c r="R64" s="2"/>
      <c r="S64" s="2"/>
      <c r="T64" s="2"/>
      <c r="U64" s="2"/>
      <c r="V64" s="2"/>
      <c r="W64" s="2"/>
    </row>
    <row r="65" spans="1:23" ht="12.75" customHeight="1" x14ac:dyDescent="0.3">
      <c r="A65" s="2"/>
      <c r="B65" s="2"/>
      <c r="C65" s="2"/>
      <c r="D65" s="2"/>
      <c r="E65" s="2"/>
      <c r="F65" s="2"/>
      <c r="G65" s="2"/>
      <c r="H65" s="2"/>
      <c r="I65" s="2"/>
      <c r="J65" s="2"/>
      <c r="K65" s="2"/>
      <c r="L65" s="2"/>
      <c r="M65" s="2"/>
      <c r="N65" s="2"/>
      <c r="O65" s="2"/>
      <c r="P65" s="2"/>
      <c r="Q65" s="2"/>
      <c r="R65" s="2"/>
      <c r="S65" s="2"/>
      <c r="T65" s="2"/>
      <c r="U65" s="2"/>
      <c r="V65" s="2"/>
      <c r="W65" s="2"/>
    </row>
    <row r="66" spans="1:23" ht="12.75" customHeight="1" x14ac:dyDescent="0.3">
      <c r="A66" s="2"/>
      <c r="B66" s="2"/>
      <c r="C66" s="2"/>
      <c r="D66" s="2"/>
      <c r="E66" s="2"/>
      <c r="F66" s="2"/>
      <c r="G66" s="2"/>
      <c r="H66" s="2"/>
      <c r="I66" s="2"/>
      <c r="J66" s="2"/>
      <c r="K66" s="2"/>
      <c r="L66" s="2"/>
      <c r="M66" s="2"/>
      <c r="N66" s="2"/>
      <c r="O66" s="2"/>
      <c r="P66" s="2"/>
      <c r="Q66" s="2"/>
      <c r="R66" s="2"/>
      <c r="S66" s="2"/>
      <c r="T66" s="2"/>
      <c r="U66" s="2"/>
      <c r="V66" s="2"/>
      <c r="W66" s="2"/>
    </row>
    <row r="67" spans="1:23" ht="12.75" customHeight="1" x14ac:dyDescent="0.3">
      <c r="A67" s="2"/>
      <c r="B67" s="2"/>
      <c r="C67" s="2"/>
      <c r="D67" s="2"/>
      <c r="E67" s="2"/>
      <c r="F67" s="2"/>
      <c r="G67" s="2"/>
      <c r="H67" s="2"/>
      <c r="I67" s="2"/>
      <c r="J67" s="2"/>
      <c r="K67" s="2"/>
      <c r="L67" s="2"/>
      <c r="M67" s="2"/>
      <c r="N67" s="2"/>
      <c r="O67" s="2"/>
      <c r="P67" s="2"/>
      <c r="Q67" s="2"/>
      <c r="R67" s="2"/>
      <c r="S67" s="2"/>
      <c r="T67" s="2"/>
      <c r="U67" s="2"/>
      <c r="V67" s="2"/>
      <c r="W67" s="2"/>
    </row>
    <row r="68" spans="1:23" ht="12.75" customHeight="1" x14ac:dyDescent="0.3">
      <c r="A68" s="2"/>
      <c r="B68" s="2"/>
      <c r="C68" s="2"/>
      <c r="D68" s="2"/>
      <c r="E68" s="2"/>
      <c r="F68" s="2"/>
      <c r="G68" s="2"/>
      <c r="H68" s="2"/>
      <c r="I68" s="2"/>
      <c r="J68" s="2"/>
      <c r="K68" s="2"/>
      <c r="L68" s="2"/>
      <c r="M68" s="2"/>
      <c r="N68" s="2"/>
      <c r="O68" s="2"/>
      <c r="P68" s="2"/>
      <c r="Q68" s="2"/>
      <c r="R68" s="2"/>
      <c r="S68" s="2"/>
      <c r="T68" s="2"/>
      <c r="U68" s="2"/>
      <c r="V68" s="2"/>
      <c r="W68" s="2"/>
    </row>
    <row r="69" spans="1:23" ht="12.75" customHeight="1" x14ac:dyDescent="0.3">
      <c r="A69" s="2"/>
      <c r="B69" s="2"/>
      <c r="C69" s="2"/>
      <c r="D69" s="2"/>
      <c r="E69" s="2"/>
      <c r="F69" s="2"/>
      <c r="G69" s="2"/>
      <c r="H69" s="2"/>
      <c r="I69" s="2"/>
      <c r="J69" s="2"/>
      <c r="K69" s="2"/>
      <c r="L69" s="2"/>
      <c r="M69" s="2"/>
      <c r="N69" s="2"/>
      <c r="O69" s="2"/>
      <c r="P69" s="2"/>
      <c r="Q69" s="2"/>
      <c r="R69" s="2"/>
      <c r="S69" s="2"/>
      <c r="T69" s="2"/>
      <c r="U69" s="2"/>
      <c r="V69" s="2"/>
      <c r="W69" s="2"/>
    </row>
    <row r="70" spans="1:23" ht="12.75" customHeight="1" x14ac:dyDescent="0.3">
      <c r="A70" s="2"/>
      <c r="B70" s="2"/>
      <c r="C70" s="2"/>
      <c r="D70" s="2"/>
      <c r="E70" s="2"/>
      <c r="F70" s="2"/>
      <c r="G70" s="2"/>
      <c r="H70" s="2"/>
      <c r="I70" s="2"/>
      <c r="J70" s="2"/>
      <c r="K70" s="2"/>
      <c r="L70" s="2"/>
      <c r="M70" s="2"/>
      <c r="N70" s="2"/>
      <c r="O70" s="2"/>
      <c r="P70" s="2"/>
      <c r="Q70" s="2"/>
      <c r="R70" s="2"/>
      <c r="S70" s="2"/>
      <c r="T70" s="2"/>
      <c r="U70" s="2"/>
      <c r="V70" s="2"/>
      <c r="W70" s="2"/>
    </row>
    <row r="71" spans="1:23" ht="12.75" customHeight="1" x14ac:dyDescent="0.3">
      <c r="A71" s="2"/>
      <c r="B71" s="2"/>
      <c r="C71" s="2"/>
      <c r="D71" s="2"/>
      <c r="E71" s="2"/>
      <c r="F71" s="2"/>
      <c r="G71" s="2"/>
      <c r="H71" s="2"/>
      <c r="I71" s="2"/>
      <c r="J71" s="2"/>
      <c r="K71" s="2"/>
      <c r="L71" s="2"/>
      <c r="M71" s="2"/>
      <c r="N71" s="2"/>
      <c r="O71" s="2"/>
      <c r="P71" s="2"/>
      <c r="Q71" s="2"/>
      <c r="R71" s="2"/>
      <c r="S71" s="2"/>
      <c r="T71" s="2"/>
      <c r="U71" s="2"/>
      <c r="V71" s="2"/>
      <c r="W71" s="2"/>
    </row>
    <row r="72" spans="1:23" ht="12.75" customHeight="1" x14ac:dyDescent="0.3">
      <c r="A72" s="2"/>
      <c r="B72" s="2"/>
      <c r="C72" s="2"/>
      <c r="D72" s="2"/>
      <c r="E72" s="2"/>
      <c r="F72" s="2"/>
      <c r="G72" s="2"/>
      <c r="H72" s="2"/>
      <c r="I72" s="2"/>
      <c r="J72" s="2"/>
      <c r="K72" s="2"/>
      <c r="L72" s="2"/>
      <c r="M72" s="2"/>
      <c r="N72" s="2"/>
      <c r="O72" s="2"/>
      <c r="P72" s="2"/>
      <c r="Q72" s="2"/>
      <c r="R72" s="2"/>
      <c r="S72" s="2"/>
      <c r="T72" s="2"/>
      <c r="U72" s="2"/>
      <c r="V72" s="2"/>
      <c r="W72" s="2"/>
    </row>
    <row r="73" spans="1:23" ht="12.75" customHeight="1" x14ac:dyDescent="0.3">
      <c r="A73" s="2"/>
      <c r="B73" s="2"/>
      <c r="C73" s="2"/>
      <c r="D73" s="2"/>
      <c r="E73" s="2"/>
      <c r="F73" s="2"/>
      <c r="G73" s="2"/>
      <c r="H73" s="2"/>
      <c r="I73" s="2"/>
      <c r="J73" s="2"/>
      <c r="K73" s="2"/>
      <c r="L73" s="2"/>
      <c r="M73" s="2"/>
      <c r="N73" s="2"/>
      <c r="O73" s="2"/>
      <c r="P73" s="2"/>
      <c r="Q73" s="2"/>
      <c r="R73" s="2"/>
      <c r="S73" s="2"/>
      <c r="T73" s="2"/>
      <c r="U73" s="2"/>
      <c r="V73" s="2"/>
      <c r="W73" s="2"/>
    </row>
    <row r="74" spans="1:23" ht="12.75" customHeight="1" x14ac:dyDescent="0.3">
      <c r="A74" s="2"/>
      <c r="B74" s="2"/>
      <c r="C74" s="2"/>
      <c r="D74" s="2"/>
      <c r="E74" s="2"/>
      <c r="F74" s="2"/>
      <c r="G74" s="2"/>
      <c r="H74" s="2"/>
      <c r="I74" s="2"/>
      <c r="J74" s="2"/>
      <c r="K74" s="2"/>
      <c r="L74" s="2"/>
      <c r="M74" s="2"/>
      <c r="N74" s="2"/>
      <c r="O74" s="2"/>
      <c r="P74" s="2"/>
      <c r="Q74" s="2"/>
      <c r="R74" s="2"/>
      <c r="S74" s="2"/>
      <c r="T74" s="2"/>
      <c r="U74" s="2"/>
      <c r="V74" s="2"/>
      <c r="W74" s="2"/>
    </row>
    <row r="75" spans="1:23" ht="12.75" customHeight="1" x14ac:dyDescent="0.3">
      <c r="A75" s="2"/>
      <c r="B75" s="2"/>
      <c r="C75" s="2"/>
      <c r="D75" s="2"/>
      <c r="E75" s="2"/>
      <c r="F75" s="2"/>
      <c r="G75" s="2"/>
      <c r="H75" s="2"/>
      <c r="I75" s="2"/>
      <c r="J75" s="2"/>
      <c r="K75" s="2"/>
      <c r="L75" s="2"/>
      <c r="M75" s="2"/>
      <c r="N75" s="2"/>
      <c r="O75" s="2"/>
      <c r="P75" s="2"/>
      <c r="Q75" s="2"/>
      <c r="R75" s="2"/>
      <c r="S75" s="2"/>
      <c r="T75" s="2"/>
      <c r="U75" s="2"/>
      <c r="V75" s="2"/>
      <c r="W75" s="2"/>
    </row>
    <row r="76" spans="1:23" ht="12.75" customHeight="1" x14ac:dyDescent="0.3">
      <c r="A76" s="2"/>
      <c r="B76" s="2"/>
      <c r="C76" s="2"/>
      <c r="D76" s="2"/>
      <c r="E76" s="2"/>
      <c r="F76" s="2"/>
      <c r="G76" s="2"/>
      <c r="H76" s="2"/>
      <c r="I76" s="2"/>
      <c r="J76" s="2"/>
      <c r="K76" s="2"/>
      <c r="L76" s="2"/>
      <c r="M76" s="2"/>
      <c r="N76" s="2"/>
      <c r="O76" s="2"/>
      <c r="P76" s="2"/>
      <c r="Q76" s="2"/>
      <c r="R76" s="2"/>
      <c r="S76" s="2"/>
      <c r="T76" s="2"/>
      <c r="U76" s="2"/>
      <c r="V76" s="2"/>
      <c r="W76" s="2"/>
    </row>
    <row r="77" spans="1:23" ht="12.75" customHeight="1" x14ac:dyDescent="0.3">
      <c r="A77" s="2"/>
      <c r="B77" s="2"/>
      <c r="C77" s="2"/>
      <c r="D77" s="2"/>
      <c r="E77" s="2"/>
      <c r="F77" s="2"/>
      <c r="G77" s="2"/>
      <c r="H77" s="2"/>
      <c r="I77" s="2"/>
      <c r="J77" s="2"/>
      <c r="K77" s="2"/>
      <c r="L77" s="2"/>
      <c r="M77" s="2"/>
      <c r="N77" s="2"/>
      <c r="O77" s="2"/>
      <c r="P77" s="2"/>
      <c r="Q77" s="2"/>
      <c r="R77" s="2"/>
      <c r="S77" s="2"/>
      <c r="T77" s="2"/>
      <c r="U77" s="2"/>
      <c r="V77" s="2"/>
      <c r="W77" s="2"/>
    </row>
    <row r="78" spans="1:23" ht="12.75" customHeight="1" x14ac:dyDescent="0.3">
      <c r="A78" s="2"/>
      <c r="B78" s="2"/>
      <c r="C78" s="2"/>
      <c r="D78" s="2"/>
      <c r="E78" s="2"/>
      <c r="F78" s="2"/>
      <c r="G78" s="2"/>
      <c r="H78" s="2"/>
      <c r="I78" s="2"/>
      <c r="J78" s="2"/>
      <c r="K78" s="2"/>
      <c r="L78" s="2"/>
      <c r="M78" s="2"/>
      <c r="N78" s="2"/>
      <c r="O78" s="2"/>
      <c r="P78" s="2"/>
      <c r="Q78" s="2"/>
      <c r="R78" s="2"/>
      <c r="S78" s="2"/>
      <c r="T78" s="2"/>
      <c r="U78" s="2"/>
      <c r="V78" s="2"/>
      <c r="W78" s="2"/>
    </row>
    <row r="79" spans="1:23" ht="12.75" customHeight="1" x14ac:dyDescent="0.3">
      <c r="A79" s="2"/>
      <c r="B79" s="2"/>
      <c r="C79" s="2"/>
      <c r="D79" s="2"/>
      <c r="E79" s="2"/>
      <c r="F79" s="2"/>
      <c r="G79" s="2"/>
      <c r="H79" s="2"/>
      <c r="I79" s="2"/>
      <c r="J79" s="2"/>
      <c r="K79" s="2"/>
      <c r="L79" s="2"/>
      <c r="M79" s="2"/>
      <c r="N79" s="2"/>
      <c r="O79" s="2"/>
      <c r="P79" s="2"/>
      <c r="Q79" s="2"/>
      <c r="R79" s="2"/>
      <c r="S79" s="2"/>
      <c r="T79" s="2"/>
      <c r="U79" s="2"/>
      <c r="V79" s="2"/>
      <c r="W79" s="2"/>
    </row>
    <row r="80" spans="1:23" ht="12.75" customHeight="1" x14ac:dyDescent="0.3">
      <c r="A80" s="2"/>
      <c r="B80" s="2"/>
      <c r="C80" s="2"/>
      <c r="D80" s="2"/>
      <c r="E80" s="2"/>
      <c r="F80" s="2"/>
      <c r="G80" s="2"/>
      <c r="H80" s="2"/>
      <c r="I80" s="2"/>
      <c r="J80" s="2"/>
      <c r="K80" s="2"/>
      <c r="L80" s="2"/>
      <c r="M80" s="2"/>
      <c r="N80" s="2"/>
      <c r="O80" s="2"/>
      <c r="P80" s="2"/>
      <c r="Q80" s="2"/>
      <c r="R80" s="2"/>
      <c r="S80" s="2"/>
      <c r="T80" s="2"/>
      <c r="U80" s="2"/>
      <c r="V80" s="2"/>
      <c r="W80" s="2"/>
    </row>
    <row r="81" spans="1:23" ht="12.75" customHeight="1" x14ac:dyDescent="0.3">
      <c r="A81" s="2"/>
      <c r="B81" s="2"/>
      <c r="C81" s="2"/>
      <c r="D81" s="2"/>
      <c r="E81" s="2"/>
      <c r="F81" s="2"/>
      <c r="G81" s="2"/>
      <c r="H81" s="2"/>
      <c r="I81" s="2"/>
      <c r="J81" s="2"/>
      <c r="K81" s="2"/>
      <c r="L81" s="2"/>
      <c r="M81" s="2"/>
      <c r="N81" s="2"/>
      <c r="O81" s="2"/>
      <c r="P81" s="2"/>
      <c r="Q81" s="2"/>
      <c r="R81" s="2"/>
      <c r="S81" s="2"/>
      <c r="T81" s="2"/>
      <c r="U81" s="2"/>
      <c r="V81" s="2"/>
      <c r="W81" s="2"/>
    </row>
    <row r="82" spans="1:23" ht="12.75" customHeight="1" x14ac:dyDescent="0.3">
      <c r="A82" s="2"/>
      <c r="B82" s="2"/>
      <c r="C82" s="2"/>
      <c r="D82" s="2"/>
      <c r="E82" s="2"/>
      <c r="F82" s="2"/>
      <c r="G82" s="2"/>
      <c r="H82" s="2"/>
      <c r="I82" s="2"/>
      <c r="J82" s="2"/>
      <c r="K82" s="2"/>
      <c r="L82" s="2"/>
      <c r="M82" s="2"/>
      <c r="N82" s="2"/>
      <c r="O82" s="2"/>
      <c r="P82" s="2"/>
      <c r="Q82" s="2"/>
      <c r="R82" s="2"/>
      <c r="S82" s="2"/>
      <c r="T82" s="2"/>
      <c r="U82" s="2"/>
      <c r="V82" s="2"/>
      <c r="W82" s="2"/>
    </row>
    <row r="83" spans="1:23" ht="12.75" customHeight="1" x14ac:dyDescent="0.3">
      <c r="A83" s="2"/>
      <c r="B83" s="2"/>
      <c r="C83" s="2"/>
      <c r="D83" s="2"/>
      <c r="E83" s="2"/>
      <c r="F83" s="2"/>
      <c r="G83" s="2"/>
      <c r="H83" s="2"/>
      <c r="I83" s="2"/>
      <c r="J83" s="2"/>
      <c r="K83" s="2"/>
      <c r="L83" s="2"/>
      <c r="M83" s="2"/>
      <c r="N83" s="2"/>
      <c r="O83" s="2"/>
      <c r="P83" s="2"/>
      <c r="Q83" s="2"/>
      <c r="R83" s="2"/>
      <c r="S83" s="2"/>
      <c r="T83" s="2"/>
      <c r="U83" s="2"/>
      <c r="V83" s="2"/>
      <c r="W83" s="2"/>
    </row>
    <row r="84" spans="1:23" ht="12.75" customHeight="1" x14ac:dyDescent="0.3">
      <c r="A84" s="2"/>
      <c r="B84" s="2"/>
      <c r="C84" s="2"/>
      <c r="D84" s="2"/>
      <c r="E84" s="2"/>
      <c r="F84" s="2"/>
      <c r="G84" s="2"/>
      <c r="H84" s="2"/>
      <c r="I84" s="2"/>
      <c r="J84" s="2"/>
      <c r="K84" s="2"/>
      <c r="L84" s="2"/>
      <c r="M84" s="2"/>
      <c r="N84" s="2"/>
      <c r="O84" s="2"/>
      <c r="P84" s="2"/>
      <c r="Q84" s="2"/>
      <c r="R84" s="2"/>
      <c r="S84" s="2"/>
      <c r="T84" s="2"/>
      <c r="U84" s="2"/>
      <c r="V84" s="2"/>
      <c r="W84" s="2"/>
    </row>
    <row r="85" spans="1:23" ht="12.75" customHeight="1" x14ac:dyDescent="0.3">
      <c r="A85" s="2"/>
      <c r="B85" s="2"/>
      <c r="C85" s="2"/>
      <c r="D85" s="2"/>
      <c r="E85" s="2"/>
      <c r="F85" s="2"/>
      <c r="G85" s="2"/>
      <c r="H85" s="2"/>
      <c r="I85" s="2"/>
      <c r="J85" s="2"/>
      <c r="K85" s="2"/>
      <c r="L85" s="2"/>
      <c r="M85" s="2"/>
      <c r="N85" s="2"/>
      <c r="O85" s="2"/>
      <c r="P85" s="2"/>
      <c r="Q85" s="2"/>
      <c r="R85" s="2"/>
      <c r="S85" s="2"/>
      <c r="T85" s="2"/>
      <c r="U85" s="2"/>
      <c r="V85" s="2"/>
      <c r="W85" s="2"/>
    </row>
    <row r="86" spans="1:23" ht="12.75" customHeight="1" x14ac:dyDescent="0.3">
      <c r="A86" s="2"/>
      <c r="B86" s="2"/>
      <c r="C86" s="2"/>
      <c r="D86" s="2"/>
      <c r="E86" s="2"/>
      <c r="F86" s="2"/>
      <c r="G86" s="2"/>
      <c r="H86" s="2"/>
      <c r="I86" s="2"/>
      <c r="J86" s="2"/>
      <c r="K86" s="2"/>
      <c r="L86" s="2"/>
      <c r="M86" s="2"/>
      <c r="N86" s="2"/>
      <c r="O86" s="2"/>
      <c r="P86" s="2"/>
      <c r="Q86" s="2"/>
      <c r="R86" s="2"/>
      <c r="S86" s="2"/>
      <c r="T86" s="2"/>
      <c r="U86" s="2"/>
      <c r="V86" s="2"/>
      <c r="W86" s="2"/>
    </row>
    <row r="87" spans="1:23" ht="12.75" customHeight="1" x14ac:dyDescent="0.3">
      <c r="A87" s="2"/>
      <c r="B87" s="2"/>
      <c r="C87" s="2"/>
      <c r="D87" s="2"/>
      <c r="E87" s="2"/>
      <c r="F87" s="2"/>
      <c r="G87" s="2"/>
      <c r="H87" s="2"/>
      <c r="I87" s="2"/>
      <c r="J87" s="2"/>
      <c r="K87" s="2"/>
      <c r="L87" s="2"/>
      <c r="M87" s="2"/>
      <c r="N87" s="2"/>
      <c r="O87" s="2"/>
      <c r="P87" s="2"/>
      <c r="Q87" s="2"/>
      <c r="R87" s="2"/>
      <c r="S87" s="2"/>
      <c r="T87" s="2"/>
      <c r="U87" s="2"/>
      <c r="V87" s="2"/>
      <c r="W87" s="2"/>
    </row>
    <row r="88" spans="1:23" ht="12.75" customHeight="1" x14ac:dyDescent="0.3">
      <c r="A88" s="2"/>
      <c r="B88" s="2"/>
      <c r="C88" s="2"/>
      <c r="D88" s="2"/>
      <c r="E88" s="2"/>
      <c r="F88" s="2"/>
      <c r="G88" s="2"/>
      <c r="H88" s="2"/>
      <c r="I88" s="2"/>
      <c r="J88" s="2"/>
      <c r="K88" s="2"/>
      <c r="L88" s="2"/>
      <c r="M88" s="2"/>
      <c r="N88" s="2"/>
      <c r="O88" s="2"/>
      <c r="P88" s="2"/>
      <c r="Q88" s="2"/>
      <c r="R88" s="2"/>
      <c r="S88" s="2"/>
      <c r="T88" s="2"/>
      <c r="U88" s="2"/>
      <c r="V88" s="2"/>
      <c r="W88" s="2"/>
    </row>
    <row r="89" spans="1:23" ht="12.75" customHeight="1" x14ac:dyDescent="0.3">
      <c r="A89" s="2"/>
      <c r="B89" s="2"/>
      <c r="C89" s="2"/>
      <c r="D89" s="2"/>
      <c r="E89" s="2"/>
      <c r="F89" s="2"/>
      <c r="G89" s="2"/>
      <c r="H89" s="2"/>
      <c r="I89" s="2"/>
      <c r="J89" s="2"/>
      <c r="K89" s="2"/>
      <c r="L89" s="2"/>
      <c r="M89" s="2"/>
      <c r="N89" s="2"/>
      <c r="O89" s="2"/>
      <c r="P89" s="2"/>
      <c r="Q89" s="2"/>
      <c r="R89" s="2"/>
      <c r="S89" s="2"/>
      <c r="T89" s="2"/>
      <c r="U89" s="2"/>
      <c r="V89" s="2"/>
      <c r="W89" s="2"/>
    </row>
    <row r="90" spans="1:23" ht="12.75" customHeight="1" x14ac:dyDescent="0.3">
      <c r="A90" s="2"/>
      <c r="B90" s="2"/>
      <c r="C90" s="2"/>
      <c r="D90" s="2"/>
      <c r="E90" s="2"/>
      <c r="F90" s="2"/>
      <c r="G90" s="2"/>
      <c r="H90" s="2"/>
      <c r="I90" s="2"/>
      <c r="J90" s="2"/>
      <c r="K90" s="2"/>
      <c r="L90" s="2"/>
      <c r="M90" s="2"/>
      <c r="N90" s="2"/>
      <c r="O90" s="2"/>
      <c r="P90" s="2"/>
      <c r="Q90" s="2"/>
      <c r="R90" s="2"/>
      <c r="S90" s="2"/>
      <c r="T90" s="2"/>
      <c r="U90" s="2"/>
      <c r="V90" s="2"/>
      <c r="W90" s="2"/>
    </row>
    <row r="91" spans="1:23" ht="12.75" customHeight="1" x14ac:dyDescent="0.3">
      <c r="A91" s="2"/>
      <c r="B91" s="2"/>
      <c r="C91" s="2"/>
      <c r="D91" s="2"/>
      <c r="E91" s="2"/>
      <c r="F91" s="2"/>
      <c r="G91" s="2"/>
      <c r="H91" s="2"/>
      <c r="I91" s="2"/>
      <c r="J91" s="2"/>
      <c r="K91" s="2"/>
      <c r="L91" s="2"/>
      <c r="M91" s="2"/>
      <c r="N91" s="2"/>
      <c r="O91" s="2"/>
      <c r="P91" s="2"/>
      <c r="Q91" s="2"/>
      <c r="R91" s="2"/>
      <c r="S91" s="2"/>
      <c r="T91" s="2"/>
      <c r="U91" s="2"/>
      <c r="V91" s="2"/>
      <c r="W91" s="2"/>
    </row>
    <row r="92" spans="1:23" ht="12.75" customHeight="1" x14ac:dyDescent="0.3">
      <c r="A92" s="2"/>
      <c r="B92" s="2"/>
      <c r="C92" s="2"/>
      <c r="D92" s="2"/>
      <c r="E92" s="2"/>
      <c r="F92" s="2"/>
      <c r="G92" s="2"/>
      <c r="H92" s="2"/>
      <c r="I92" s="2"/>
      <c r="J92" s="2"/>
      <c r="K92" s="2"/>
      <c r="L92" s="2"/>
      <c r="M92" s="2"/>
      <c r="N92" s="2"/>
      <c r="O92" s="2"/>
      <c r="P92" s="2"/>
      <c r="Q92" s="2"/>
      <c r="R92" s="2"/>
      <c r="S92" s="2"/>
      <c r="T92" s="2"/>
      <c r="U92" s="2"/>
      <c r="V92" s="2"/>
      <c r="W92" s="2"/>
    </row>
    <row r="93" spans="1:23" ht="12.75" customHeight="1" x14ac:dyDescent="0.3">
      <c r="A93" s="2"/>
      <c r="B93" s="2"/>
      <c r="C93" s="2"/>
      <c r="D93" s="2"/>
      <c r="E93" s="2"/>
      <c r="F93" s="2"/>
      <c r="G93" s="2"/>
      <c r="H93" s="2"/>
      <c r="I93" s="2"/>
      <c r="J93" s="2"/>
      <c r="K93" s="2"/>
      <c r="L93" s="2"/>
      <c r="M93" s="2"/>
      <c r="N93" s="2"/>
      <c r="O93" s="2"/>
      <c r="P93" s="2"/>
      <c r="Q93" s="2"/>
      <c r="R93" s="2"/>
      <c r="S93" s="2"/>
      <c r="T93" s="2"/>
      <c r="U93" s="2"/>
      <c r="V93" s="2"/>
      <c r="W93" s="2"/>
    </row>
    <row r="94" spans="1:23" ht="12.75" customHeight="1" x14ac:dyDescent="0.3">
      <c r="A94" s="2"/>
      <c r="B94" s="2"/>
      <c r="C94" s="2"/>
      <c r="D94" s="2"/>
      <c r="E94" s="2"/>
      <c r="F94" s="2"/>
      <c r="G94" s="2"/>
      <c r="H94" s="2"/>
      <c r="I94" s="2"/>
      <c r="J94" s="2"/>
      <c r="K94" s="2"/>
      <c r="L94" s="2"/>
      <c r="M94" s="2"/>
      <c r="N94" s="2"/>
      <c r="O94" s="2"/>
      <c r="P94" s="2"/>
      <c r="Q94" s="2"/>
      <c r="R94" s="2"/>
      <c r="S94" s="2"/>
      <c r="T94" s="2"/>
      <c r="U94" s="2"/>
      <c r="V94" s="2"/>
      <c r="W94" s="2"/>
    </row>
    <row r="95" spans="1:23" ht="12.75" customHeight="1" x14ac:dyDescent="0.3">
      <c r="A95" s="2"/>
      <c r="B95" s="2"/>
      <c r="C95" s="2"/>
      <c r="D95" s="2"/>
      <c r="E95" s="2"/>
      <c r="F95" s="2"/>
      <c r="G95" s="2"/>
      <c r="H95" s="2"/>
      <c r="I95" s="2"/>
      <c r="J95" s="2"/>
      <c r="K95" s="2"/>
      <c r="L95" s="2"/>
      <c r="M95" s="2"/>
      <c r="N95" s="2"/>
      <c r="O95" s="2"/>
      <c r="P95" s="2"/>
      <c r="Q95" s="2"/>
      <c r="R95" s="2"/>
      <c r="S95" s="2"/>
      <c r="T95" s="2"/>
      <c r="U95" s="2"/>
      <c r="V95" s="2"/>
      <c r="W95" s="2"/>
    </row>
    <row r="96" spans="1:23" ht="12.75" customHeight="1" x14ac:dyDescent="0.3">
      <c r="A96" s="2"/>
      <c r="B96" s="2"/>
      <c r="C96" s="2"/>
      <c r="D96" s="2"/>
      <c r="E96" s="2"/>
      <c r="F96" s="2"/>
      <c r="G96" s="2"/>
      <c r="H96" s="2"/>
      <c r="I96" s="2"/>
      <c r="J96" s="2"/>
      <c r="K96" s="2"/>
      <c r="L96" s="2"/>
      <c r="M96" s="2"/>
      <c r="N96" s="2"/>
      <c r="O96" s="2"/>
      <c r="P96" s="2"/>
      <c r="Q96" s="2"/>
      <c r="R96" s="2"/>
      <c r="S96" s="2"/>
      <c r="T96" s="2"/>
      <c r="U96" s="2"/>
      <c r="V96" s="2"/>
      <c r="W96" s="2"/>
    </row>
    <row r="97" spans="1:23" ht="12.75" customHeight="1" x14ac:dyDescent="0.3">
      <c r="A97" s="2"/>
      <c r="B97" s="2"/>
      <c r="C97" s="2"/>
      <c r="D97" s="2"/>
      <c r="E97" s="2"/>
      <c r="F97" s="2"/>
      <c r="G97" s="2"/>
      <c r="H97" s="2"/>
      <c r="I97" s="2"/>
      <c r="J97" s="2"/>
      <c r="K97" s="2"/>
      <c r="L97" s="2"/>
      <c r="M97" s="2"/>
      <c r="N97" s="2"/>
      <c r="O97" s="2"/>
      <c r="P97" s="2"/>
      <c r="Q97" s="2"/>
      <c r="R97" s="2"/>
      <c r="S97" s="2"/>
      <c r="T97" s="2"/>
      <c r="U97" s="2"/>
      <c r="V97" s="2"/>
      <c r="W97" s="2"/>
    </row>
    <row r="98" spans="1:23" ht="12.75" customHeight="1" x14ac:dyDescent="0.3">
      <c r="A98" s="2"/>
      <c r="B98" s="2"/>
      <c r="C98" s="2"/>
      <c r="D98" s="2"/>
      <c r="E98" s="2"/>
      <c r="F98" s="2"/>
      <c r="G98" s="2"/>
      <c r="H98" s="2"/>
      <c r="I98" s="2"/>
      <c r="J98" s="2"/>
      <c r="K98" s="2"/>
      <c r="L98" s="2"/>
      <c r="M98" s="2"/>
      <c r="N98" s="2"/>
      <c r="O98" s="2"/>
      <c r="P98" s="2"/>
      <c r="Q98" s="2"/>
      <c r="R98" s="2"/>
      <c r="S98" s="2"/>
      <c r="T98" s="2"/>
      <c r="U98" s="2"/>
      <c r="V98" s="2"/>
      <c r="W98" s="2"/>
    </row>
    <row r="99" spans="1:23" ht="12.75" customHeight="1" x14ac:dyDescent="0.3">
      <c r="A99" s="2"/>
      <c r="B99" s="2"/>
      <c r="C99" s="2"/>
      <c r="D99" s="2"/>
      <c r="E99" s="2"/>
      <c r="F99" s="2"/>
      <c r="G99" s="2"/>
      <c r="H99" s="2"/>
      <c r="I99" s="2"/>
      <c r="J99" s="2"/>
      <c r="K99" s="2"/>
      <c r="L99" s="2"/>
      <c r="M99" s="2"/>
      <c r="N99" s="2"/>
      <c r="O99" s="2"/>
      <c r="P99" s="2"/>
      <c r="Q99" s="2"/>
      <c r="R99" s="2"/>
      <c r="S99" s="2"/>
      <c r="T99" s="2"/>
      <c r="U99" s="2"/>
      <c r="V99" s="2"/>
      <c r="W99" s="2"/>
    </row>
    <row r="100" spans="1:23" ht="12.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row>
    <row r="101" spans="1:23" ht="12.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row>
    <row r="102" spans="1:23" ht="12.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row>
    <row r="103" spans="1:23" ht="12.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row>
    <row r="104" spans="1:23" ht="12.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row>
    <row r="105" spans="1:23" ht="12.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row>
    <row r="106" spans="1:23" ht="12.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row>
    <row r="107" spans="1:23" ht="12.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row>
    <row r="108" spans="1:23" ht="12.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row>
    <row r="109" spans="1:23" ht="12.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row>
    <row r="110" spans="1:23" ht="12.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row>
    <row r="111" spans="1:23" ht="12.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row>
    <row r="112" spans="1:23" ht="12.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row>
    <row r="113" spans="1:23" ht="12.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row>
    <row r="114" spans="1:23" ht="12.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row>
    <row r="115" spans="1:23" ht="12.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row>
    <row r="116" spans="1:23" ht="12.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row>
    <row r="117" spans="1:23" ht="12.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row>
    <row r="118" spans="1:23" ht="12.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row>
    <row r="119" spans="1:23" ht="12.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row>
    <row r="120" spans="1:23" ht="12.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row>
    <row r="121" spans="1:23" ht="12.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row>
    <row r="122" spans="1:23" ht="12.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row>
    <row r="123" spans="1:23" ht="12.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row>
    <row r="124" spans="1:23" ht="12.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row>
    <row r="125" spans="1:23" ht="12.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row>
    <row r="126" spans="1:23" ht="12.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row>
    <row r="127" spans="1:23" ht="12.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row>
    <row r="128" spans="1:23" ht="12.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row>
    <row r="129" spans="1:23" ht="12.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row>
    <row r="130" spans="1:23" ht="12.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row>
    <row r="131" spans="1:23" ht="12.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row>
    <row r="132" spans="1:23" ht="12.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row>
    <row r="133" spans="1:23" ht="12.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row>
    <row r="134" spans="1:23" ht="12.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row>
    <row r="135" spans="1:23" ht="12.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row>
    <row r="136" spans="1:23" ht="12.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row>
    <row r="137" spans="1:23" ht="12.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row>
    <row r="138" spans="1:23" ht="12.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row>
    <row r="139" spans="1:23" ht="12.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row>
    <row r="140" spans="1:23" ht="12.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row>
    <row r="141" spans="1:23" ht="12.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row>
    <row r="142" spans="1:23" ht="12.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row>
    <row r="143" spans="1:23" ht="12.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row>
    <row r="144" spans="1:23" ht="12.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row>
    <row r="145" spans="1:23" ht="12.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row>
    <row r="146" spans="1:23" ht="12.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row>
    <row r="147" spans="1:23" ht="12.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row>
    <row r="148" spans="1:23" ht="12.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row>
    <row r="149" spans="1:23" ht="12.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row>
    <row r="150" spans="1:23" ht="12.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row>
    <row r="151" spans="1:23" ht="12.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row>
    <row r="152" spans="1:23" ht="12.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row>
    <row r="153" spans="1:23" ht="12.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row>
    <row r="154" spans="1:23" ht="12.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row>
    <row r="155" spans="1:23" ht="12.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row>
    <row r="156" spans="1:23" ht="12.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row>
    <row r="157" spans="1:23" ht="12.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row>
    <row r="158" spans="1:23" ht="12.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row>
    <row r="159" spans="1:23" ht="12.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row>
    <row r="160" spans="1:23" ht="12.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row>
    <row r="161" spans="1:23" ht="12.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row>
    <row r="162" spans="1:23" ht="12.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row>
    <row r="163" spans="1:23" ht="12.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row>
    <row r="164" spans="1:23" ht="12.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row>
    <row r="165" spans="1:23" ht="12.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row>
    <row r="166" spans="1:23" ht="12.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row>
    <row r="167" spans="1:23" ht="12.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row>
    <row r="168" spans="1:23" ht="12.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row>
    <row r="169" spans="1:23" ht="12.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row>
    <row r="170" spans="1:23" ht="12.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row>
    <row r="171" spans="1:23" ht="12.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row>
    <row r="172" spans="1:23" ht="12.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row>
    <row r="173" spans="1:23" ht="12.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row>
    <row r="174" spans="1:23" ht="12.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row>
    <row r="175" spans="1:23" ht="12.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row>
    <row r="176" spans="1:23" ht="12.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row>
    <row r="177" spans="1:23" ht="12.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row>
    <row r="178" spans="1:23" ht="12.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row>
    <row r="179" spans="1:23" ht="12.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row>
    <row r="180" spans="1:23" ht="12.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row>
    <row r="181" spans="1:23" ht="12.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row>
    <row r="182" spans="1:23" ht="12.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row>
    <row r="183" spans="1:23" ht="12.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row>
    <row r="184" spans="1:23" ht="12.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row>
    <row r="185" spans="1:23" ht="12.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row>
    <row r="186" spans="1:23" ht="12.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row>
    <row r="187" spans="1:23" ht="12.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row>
    <row r="188" spans="1:23" ht="12.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row>
    <row r="189" spans="1:23" ht="12.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row>
    <row r="190" spans="1:23" ht="12.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row>
    <row r="191" spans="1:23" ht="12.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row>
    <row r="192" spans="1:23" ht="12.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row>
    <row r="193" spans="1:23" ht="12.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row>
    <row r="194" spans="1:23" ht="12.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row>
    <row r="195" spans="1:23" ht="12.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row>
    <row r="196" spans="1:23" ht="12.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row>
    <row r="197" spans="1:23" ht="12.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row>
    <row r="198" spans="1:23" ht="12.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row>
    <row r="199" spans="1:23" ht="12.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row>
    <row r="200" spans="1:23" ht="12.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row>
    <row r="201" spans="1:23" ht="12.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row>
    <row r="202" spans="1:23" ht="12.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row>
    <row r="203" spans="1:23" ht="12.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row>
    <row r="204" spans="1:23" ht="12.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row>
    <row r="205" spans="1:23" ht="12.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row>
    <row r="206" spans="1:23" ht="12.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row>
    <row r="207" spans="1:23" ht="12.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row>
    <row r="208" spans="1:23" ht="12.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row>
    <row r="209" spans="1:23" ht="12.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row>
    <row r="210" spans="1:23" ht="12.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row>
    <row r="211" spans="1:23" ht="12.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row>
    <row r="212" spans="1:23" ht="12.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row>
    <row r="213" spans="1:23" ht="12.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row>
    <row r="214" spans="1:23" ht="12.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row>
    <row r="215" spans="1:23" ht="12.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row>
    <row r="216" spans="1:23" ht="12.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row>
    <row r="217" spans="1:23" ht="12.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row>
    <row r="218" spans="1:23" ht="12.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row>
    <row r="219" spans="1:23" ht="12.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row>
    <row r="220" spans="1:23" ht="12.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row>
    <row r="221" spans="1:23" ht="12.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row>
    <row r="222" spans="1:23" ht="15.75" customHeight="1" x14ac:dyDescent="0.3"/>
    <row r="223" spans="1:23" ht="15.75" customHeight="1" x14ac:dyDescent="0.3"/>
    <row r="224" spans="1:23"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sheetData>
  <mergeCells count="7">
    <mergeCell ref="C12:J12"/>
    <mergeCell ref="B25:K25"/>
    <mergeCell ref="B3:D3"/>
    <mergeCell ref="B4:J4"/>
    <mergeCell ref="C6:J6"/>
    <mergeCell ref="C8:J8"/>
    <mergeCell ref="C10:J10"/>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999"/>
  <sheetViews>
    <sheetView workbookViewId="0"/>
  </sheetViews>
  <sheetFormatPr defaultColWidth="14.3984375" defaultRowHeight="15" customHeight="1" x14ac:dyDescent="0.3"/>
  <cols>
    <col min="1" max="1" width="12.69921875" customWidth="1"/>
    <col min="2" max="2" width="84.296875" customWidth="1"/>
    <col min="3" max="3" width="10.59765625" customWidth="1"/>
    <col min="4" max="4" width="16.296875" customWidth="1"/>
    <col min="5" max="5" width="22.296875" customWidth="1"/>
    <col min="6" max="7" width="17.09765625" customWidth="1"/>
    <col min="8" max="8" width="21" customWidth="1"/>
    <col min="9" max="9" width="18.09765625" customWidth="1"/>
    <col min="10" max="10" width="19.8984375" customWidth="1"/>
    <col min="11" max="11" width="17.69921875" customWidth="1"/>
    <col min="12" max="12" width="17.3984375" customWidth="1"/>
    <col min="13" max="13" width="19.8984375" customWidth="1"/>
    <col min="14" max="14" width="20.69921875" customWidth="1"/>
    <col min="15" max="15" width="20.59765625" customWidth="1"/>
    <col min="16" max="16" width="20.09765625" customWidth="1"/>
    <col min="17" max="26" width="12.69921875" customWidth="1"/>
  </cols>
  <sheetData>
    <row r="1" spans="1:26" ht="12.75" customHeight="1" x14ac:dyDescent="0.35">
      <c r="A1" s="50"/>
      <c r="B1" s="50"/>
      <c r="C1" s="63"/>
      <c r="D1" s="50"/>
      <c r="E1" s="50"/>
      <c r="F1" s="50"/>
      <c r="G1" s="50"/>
      <c r="H1" s="50"/>
      <c r="I1" s="50"/>
      <c r="J1" s="50"/>
      <c r="K1" s="50"/>
      <c r="L1" s="50"/>
      <c r="M1" s="50"/>
      <c r="N1" s="50"/>
      <c r="O1" s="50"/>
      <c r="P1" s="50"/>
      <c r="Q1" s="50"/>
      <c r="R1" s="50"/>
      <c r="S1" s="50"/>
      <c r="T1" s="50"/>
      <c r="U1" s="50"/>
      <c r="V1" s="50"/>
      <c r="W1" s="50"/>
      <c r="X1" s="50"/>
      <c r="Y1" s="50"/>
      <c r="Z1" s="339"/>
    </row>
    <row r="2" spans="1:26" ht="12.75" customHeight="1" x14ac:dyDescent="0.35">
      <c r="A2" s="50"/>
      <c r="B2" s="31" t="s">
        <v>254</v>
      </c>
      <c r="C2" s="47"/>
      <c r="D2" s="33" t="s">
        <v>183</v>
      </c>
      <c r="E2" s="77"/>
      <c r="F2" s="79"/>
      <c r="G2" s="32"/>
      <c r="H2" s="32"/>
      <c r="I2" s="32"/>
      <c r="J2" s="32"/>
      <c r="K2" s="32"/>
      <c r="L2" s="50"/>
      <c r="M2" s="50"/>
      <c r="N2" s="50"/>
      <c r="O2" s="50"/>
      <c r="P2" s="50"/>
      <c r="Q2" s="50"/>
      <c r="R2" s="50"/>
      <c r="S2" s="50"/>
      <c r="T2" s="50"/>
      <c r="U2" s="50"/>
      <c r="V2" s="50"/>
      <c r="W2" s="50"/>
      <c r="X2" s="50"/>
      <c r="Y2" s="50"/>
      <c r="Z2" s="339"/>
    </row>
    <row r="3" spans="1:26" ht="12.75" customHeight="1" x14ac:dyDescent="0.35">
      <c r="A3" s="50"/>
      <c r="B3" s="31"/>
      <c r="C3" s="47"/>
      <c r="D3" s="79"/>
      <c r="E3" s="79"/>
      <c r="F3" s="79"/>
      <c r="G3" s="32"/>
      <c r="H3" s="32"/>
      <c r="I3" s="32"/>
      <c r="J3" s="32"/>
      <c r="K3" s="80"/>
      <c r="L3" s="50"/>
      <c r="M3" s="50"/>
      <c r="N3" s="50"/>
      <c r="O3" s="50"/>
      <c r="P3" s="50"/>
      <c r="Q3" s="50"/>
      <c r="R3" s="50"/>
      <c r="S3" s="50"/>
      <c r="T3" s="50"/>
      <c r="U3" s="50"/>
      <c r="V3" s="50"/>
      <c r="W3" s="50"/>
      <c r="X3" s="50"/>
      <c r="Y3" s="50"/>
      <c r="Z3" s="339"/>
    </row>
    <row r="4" spans="1:26" ht="12.75" customHeight="1" x14ac:dyDescent="0.35">
      <c r="A4" s="50"/>
      <c r="B4" s="554" t="s">
        <v>379</v>
      </c>
      <c r="C4" s="552"/>
      <c r="D4" s="555"/>
      <c r="E4" s="79"/>
      <c r="F4" s="79"/>
      <c r="G4" s="32"/>
      <c r="H4" s="32"/>
      <c r="I4" s="32"/>
      <c r="J4" s="32"/>
      <c r="K4" s="32"/>
      <c r="L4" s="50"/>
      <c r="M4" s="50"/>
      <c r="N4" s="50"/>
      <c r="O4" s="50"/>
      <c r="P4" s="50"/>
      <c r="Q4" s="50"/>
      <c r="R4" s="50"/>
      <c r="S4" s="50"/>
      <c r="T4" s="50"/>
      <c r="U4" s="50"/>
      <c r="V4" s="50"/>
      <c r="W4" s="50"/>
      <c r="X4" s="50"/>
      <c r="Y4" s="50"/>
      <c r="Z4" s="339"/>
    </row>
    <row r="5" spans="1:26" ht="15" customHeight="1" x14ac:dyDescent="0.35">
      <c r="A5" s="50"/>
      <c r="B5" s="569" t="s">
        <v>380</v>
      </c>
      <c r="C5" s="546"/>
      <c r="D5" s="558"/>
      <c r="E5" s="202"/>
      <c r="F5" s="32"/>
      <c r="G5" s="32"/>
      <c r="H5" s="32"/>
      <c r="I5" s="32"/>
      <c r="J5" s="32"/>
      <c r="K5" s="32"/>
      <c r="L5" s="50"/>
      <c r="M5" s="50"/>
      <c r="N5" s="50"/>
      <c r="O5" s="50"/>
      <c r="P5" s="50"/>
      <c r="Q5" s="50"/>
      <c r="R5" s="50"/>
      <c r="S5" s="50"/>
      <c r="T5" s="50"/>
      <c r="U5" s="50"/>
      <c r="V5" s="50"/>
      <c r="W5" s="50"/>
      <c r="X5" s="50"/>
      <c r="Y5" s="50"/>
      <c r="Z5" s="339"/>
    </row>
    <row r="6" spans="1:26" ht="27" customHeight="1" x14ac:dyDescent="0.35">
      <c r="A6" s="50"/>
      <c r="B6" s="570" t="s">
        <v>381</v>
      </c>
      <c r="C6" s="536"/>
      <c r="D6" s="571"/>
      <c r="E6" s="32"/>
      <c r="F6" s="32"/>
      <c r="G6" s="32"/>
      <c r="H6" s="32"/>
      <c r="I6" s="32"/>
      <c r="J6" s="32"/>
      <c r="K6" s="32"/>
      <c r="L6" s="50"/>
      <c r="M6" s="50"/>
      <c r="N6" s="50"/>
      <c r="O6" s="50"/>
      <c r="P6" s="50"/>
      <c r="Q6" s="50"/>
      <c r="R6" s="50"/>
      <c r="S6" s="50"/>
      <c r="T6" s="50"/>
      <c r="U6" s="50"/>
      <c r="V6" s="50"/>
      <c r="W6" s="50"/>
      <c r="X6" s="50"/>
      <c r="Y6" s="50"/>
      <c r="Z6" s="339"/>
    </row>
    <row r="7" spans="1:26" ht="18.75" customHeight="1" x14ac:dyDescent="0.35">
      <c r="A7" s="50"/>
      <c r="B7" s="569" t="s">
        <v>341</v>
      </c>
      <c r="C7" s="546"/>
      <c r="D7" s="558"/>
      <c r="E7" s="32"/>
      <c r="F7" s="32"/>
      <c r="G7" s="32"/>
      <c r="H7" s="32"/>
      <c r="I7" s="32"/>
      <c r="J7" s="32"/>
      <c r="K7" s="32"/>
      <c r="L7" s="50"/>
      <c r="M7" s="50"/>
      <c r="N7" s="50"/>
      <c r="O7" s="50"/>
      <c r="P7" s="50"/>
      <c r="Q7" s="50"/>
      <c r="R7" s="50"/>
      <c r="S7" s="50"/>
      <c r="T7" s="50"/>
      <c r="U7" s="50"/>
      <c r="V7" s="50"/>
      <c r="W7" s="50"/>
      <c r="X7" s="50"/>
      <c r="Y7" s="50"/>
      <c r="Z7" s="339"/>
    </row>
    <row r="8" spans="1:26" ht="51.75" customHeight="1" x14ac:dyDescent="0.35">
      <c r="A8" s="50"/>
      <c r="B8" s="585" t="s">
        <v>382</v>
      </c>
      <c r="C8" s="579"/>
      <c r="D8" s="580"/>
      <c r="E8" s="575"/>
      <c r="F8" s="546"/>
      <c r="G8" s="534"/>
      <c r="H8" s="32"/>
      <c r="I8" s="32"/>
      <c r="J8" s="32"/>
      <c r="K8" s="32"/>
      <c r="L8" s="50"/>
      <c r="M8" s="50"/>
      <c r="N8" s="50"/>
      <c r="O8" s="50"/>
      <c r="P8" s="50"/>
      <c r="Q8" s="50"/>
      <c r="R8" s="50"/>
      <c r="S8" s="50"/>
      <c r="T8" s="50"/>
      <c r="U8" s="50"/>
      <c r="V8" s="50"/>
      <c r="W8" s="50"/>
      <c r="X8" s="50"/>
      <c r="Y8" s="50"/>
      <c r="Z8" s="339"/>
    </row>
    <row r="9" spans="1:26" ht="15" customHeight="1" x14ac:dyDescent="0.35">
      <c r="A9" s="50"/>
      <c r="B9" s="50"/>
      <c r="C9" s="63"/>
      <c r="D9" s="50"/>
      <c r="E9" s="50"/>
      <c r="F9" s="314"/>
      <c r="G9" s="50"/>
      <c r="H9" s="50"/>
      <c r="I9" s="50"/>
      <c r="J9" s="50"/>
      <c r="K9" s="50"/>
      <c r="L9" s="50"/>
      <c r="M9" s="50"/>
      <c r="N9" s="50"/>
      <c r="O9" s="50"/>
      <c r="P9" s="50"/>
      <c r="Q9" s="50"/>
      <c r="R9" s="50"/>
      <c r="S9" s="50"/>
      <c r="T9" s="50"/>
      <c r="U9" s="50"/>
      <c r="V9" s="50"/>
      <c r="W9" s="50"/>
      <c r="X9" s="50"/>
      <c r="Y9" s="50"/>
      <c r="Z9" s="339"/>
    </row>
    <row r="10" spans="1:26" ht="15" customHeight="1" x14ac:dyDescent="0.35">
      <c r="A10" s="50"/>
      <c r="B10" s="83" t="s">
        <v>85</v>
      </c>
      <c r="C10" s="84"/>
      <c r="D10" s="163" t="s">
        <v>143</v>
      </c>
      <c r="E10" s="84"/>
      <c r="F10" s="84"/>
      <c r="G10" s="84" t="s">
        <v>87</v>
      </c>
      <c r="H10" s="212"/>
      <c r="I10" s="50"/>
      <c r="J10" s="50"/>
      <c r="K10" s="50"/>
      <c r="L10" s="50"/>
      <c r="M10" s="50"/>
      <c r="N10" s="50"/>
      <c r="O10" s="50"/>
      <c r="P10" s="50"/>
      <c r="Q10" s="50"/>
      <c r="R10" s="50"/>
      <c r="S10" s="50"/>
      <c r="T10" s="50"/>
      <c r="U10" s="50"/>
      <c r="V10" s="50"/>
      <c r="W10" s="50"/>
      <c r="X10" s="50"/>
      <c r="Y10" s="50"/>
      <c r="Z10" s="339"/>
    </row>
    <row r="11" spans="1:26" ht="22.5" customHeight="1" x14ac:dyDescent="0.35">
      <c r="A11" s="50"/>
      <c r="B11" s="340" t="s">
        <v>383</v>
      </c>
      <c r="C11" s="223"/>
      <c r="D11" s="341"/>
      <c r="E11" s="318"/>
      <c r="F11" s="91"/>
      <c r="G11" s="91"/>
      <c r="H11" s="92"/>
      <c r="I11" s="50"/>
      <c r="J11" s="50"/>
      <c r="K11" s="50"/>
      <c r="L11" s="50"/>
      <c r="M11" s="50"/>
      <c r="N11" s="50"/>
      <c r="O11" s="50"/>
      <c r="P11" s="50"/>
      <c r="Q11" s="50"/>
      <c r="R11" s="50"/>
      <c r="S11" s="50"/>
      <c r="T11" s="50"/>
      <c r="U11" s="50"/>
      <c r="V11" s="50"/>
      <c r="W11" s="50"/>
      <c r="X11" s="50"/>
      <c r="Y11" s="50"/>
      <c r="Z11" s="339"/>
    </row>
    <row r="12" spans="1:26" ht="15.75" customHeight="1" x14ac:dyDescent="0.35">
      <c r="A12" s="50"/>
      <c r="B12" s="154" t="s">
        <v>384</v>
      </c>
      <c r="C12" s="223" t="s">
        <v>202</v>
      </c>
      <c r="D12" s="298">
        <f>500*26</f>
        <v>13000</v>
      </c>
      <c r="E12" s="91" t="s">
        <v>385</v>
      </c>
      <c r="F12" s="91"/>
      <c r="G12" s="91"/>
      <c r="H12" s="92"/>
      <c r="I12" s="50"/>
      <c r="J12" s="50"/>
      <c r="K12" s="50"/>
      <c r="L12" s="50"/>
      <c r="M12" s="50"/>
      <c r="N12" s="50"/>
      <c r="O12" s="50"/>
      <c r="P12" s="50"/>
      <c r="Q12" s="50"/>
      <c r="R12" s="50"/>
      <c r="S12" s="50"/>
      <c r="T12" s="50"/>
      <c r="U12" s="50"/>
      <c r="V12" s="50"/>
      <c r="W12" s="50"/>
      <c r="X12" s="50"/>
      <c r="Y12" s="50"/>
      <c r="Z12" s="339"/>
    </row>
    <row r="13" spans="1:26" ht="15.75" customHeight="1" x14ac:dyDescent="0.35">
      <c r="A13" s="50"/>
      <c r="B13" s="342" t="s">
        <v>386</v>
      </c>
      <c r="C13" s="310"/>
      <c r="D13" s="297"/>
      <c r="E13" s="91"/>
      <c r="F13" s="318"/>
      <c r="G13" s="91"/>
      <c r="H13" s="92"/>
      <c r="I13" s="50"/>
      <c r="J13" s="50"/>
      <c r="K13" s="50"/>
      <c r="L13" s="50"/>
      <c r="M13" s="50"/>
      <c r="N13" s="50"/>
      <c r="O13" s="50"/>
      <c r="P13" s="50"/>
      <c r="Q13" s="50"/>
      <c r="R13" s="50"/>
      <c r="S13" s="50"/>
      <c r="T13" s="50"/>
      <c r="U13" s="50"/>
      <c r="V13" s="50"/>
      <c r="W13" s="50"/>
      <c r="X13" s="50"/>
      <c r="Y13" s="50"/>
      <c r="Z13" s="339"/>
    </row>
    <row r="14" spans="1:26" ht="15.75" customHeight="1" x14ac:dyDescent="0.35">
      <c r="A14" s="50"/>
      <c r="B14" s="154" t="s">
        <v>387</v>
      </c>
      <c r="C14" s="310" t="s">
        <v>388</v>
      </c>
      <c r="D14" s="298">
        <v>2</v>
      </c>
      <c r="E14" s="91" t="s">
        <v>389</v>
      </c>
      <c r="F14" s="318"/>
      <c r="G14" s="91"/>
      <c r="H14" s="92"/>
      <c r="I14" s="50"/>
      <c r="J14" s="50"/>
      <c r="K14" s="50"/>
      <c r="L14" s="50"/>
      <c r="M14" s="50"/>
      <c r="N14" s="50"/>
      <c r="O14" s="50"/>
      <c r="P14" s="50"/>
      <c r="Q14" s="50"/>
      <c r="R14" s="50"/>
      <c r="S14" s="50"/>
      <c r="T14" s="50"/>
      <c r="U14" s="50"/>
      <c r="V14" s="50"/>
      <c r="W14" s="50"/>
      <c r="X14" s="50"/>
      <c r="Y14" s="50"/>
      <c r="Z14" s="339"/>
    </row>
    <row r="15" spans="1:26" ht="15.75" customHeight="1" x14ac:dyDescent="0.35">
      <c r="A15" s="50"/>
      <c r="B15" s="154" t="s">
        <v>390</v>
      </c>
      <c r="C15" s="310" t="s">
        <v>388</v>
      </c>
      <c r="D15" s="316">
        <f>D14*12</f>
        <v>24</v>
      </c>
      <c r="E15" s="91" t="s">
        <v>117</v>
      </c>
      <c r="F15" s="318"/>
      <c r="G15" s="91"/>
      <c r="H15" s="92"/>
      <c r="I15" s="50"/>
      <c r="J15" s="50"/>
      <c r="K15" s="50"/>
      <c r="L15" s="50"/>
      <c r="M15" s="50"/>
      <c r="N15" s="50"/>
      <c r="O15" s="50"/>
      <c r="P15" s="50"/>
      <c r="Q15" s="50"/>
      <c r="R15" s="50"/>
      <c r="S15" s="50"/>
      <c r="T15" s="50"/>
      <c r="U15" s="50"/>
      <c r="V15" s="50"/>
      <c r="W15" s="50"/>
      <c r="X15" s="50"/>
      <c r="Y15" s="50"/>
      <c r="Z15" s="339"/>
    </row>
    <row r="16" spans="1:26" ht="15.75" customHeight="1" x14ac:dyDescent="0.35">
      <c r="A16" s="50"/>
      <c r="B16" s="154" t="s">
        <v>391</v>
      </c>
      <c r="C16" s="310" t="s">
        <v>392</v>
      </c>
      <c r="D16" s="298">
        <v>35</v>
      </c>
      <c r="E16" s="91" t="s">
        <v>393</v>
      </c>
      <c r="F16" s="318"/>
      <c r="G16" s="91"/>
      <c r="H16" s="92"/>
      <c r="I16" s="50"/>
      <c r="J16" s="50"/>
      <c r="K16" s="50"/>
      <c r="L16" s="50"/>
      <c r="M16" s="50"/>
      <c r="N16" s="50"/>
      <c r="O16" s="50"/>
      <c r="P16" s="50"/>
      <c r="Q16" s="50"/>
      <c r="R16" s="50"/>
      <c r="S16" s="50"/>
      <c r="T16" s="50"/>
      <c r="U16" s="50"/>
      <c r="V16" s="50"/>
      <c r="W16" s="50"/>
      <c r="X16" s="50"/>
      <c r="Y16" s="50"/>
      <c r="Z16" s="339"/>
    </row>
    <row r="17" spans="1:26" ht="15.75" customHeight="1" x14ac:dyDescent="0.35">
      <c r="A17" s="50"/>
      <c r="B17" s="154" t="s">
        <v>394</v>
      </c>
      <c r="C17" s="310" t="s">
        <v>94</v>
      </c>
      <c r="D17" s="298">
        <v>1</v>
      </c>
      <c r="E17" s="91" t="s">
        <v>395</v>
      </c>
      <c r="F17" s="91"/>
      <c r="G17" s="91"/>
      <c r="H17" s="92"/>
      <c r="I17" s="50"/>
      <c r="J17" s="50"/>
      <c r="K17" s="50"/>
      <c r="L17" s="50"/>
      <c r="M17" s="50"/>
      <c r="N17" s="50"/>
      <c r="O17" s="50"/>
      <c r="P17" s="50"/>
      <c r="Q17" s="50"/>
      <c r="R17" s="50"/>
      <c r="S17" s="50"/>
      <c r="T17" s="50"/>
      <c r="U17" s="50"/>
      <c r="V17" s="50"/>
      <c r="W17" s="50"/>
      <c r="X17" s="50"/>
      <c r="Y17" s="50"/>
      <c r="Z17" s="339"/>
    </row>
    <row r="18" spans="1:26" ht="15.75" customHeight="1" x14ac:dyDescent="0.35">
      <c r="A18" s="50"/>
      <c r="B18" s="154" t="s">
        <v>396</v>
      </c>
      <c r="C18" s="310" t="s">
        <v>94</v>
      </c>
      <c r="D18" s="298">
        <v>5</v>
      </c>
      <c r="E18" s="91" t="s">
        <v>397</v>
      </c>
      <c r="F18" s="91"/>
      <c r="G18" s="91"/>
      <c r="H18" s="92"/>
      <c r="I18" s="50"/>
      <c r="J18" s="50"/>
      <c r="K18" s="50"/>
      <c r="L18" s="50"/>
      <c r="M18" s="50"/>
      <c r="N18" s="50"/>
      <c r="O18" s="50"/>
      <c r="P18" s="50"/>
      <c r="Q18" s="50"/>
      <c r="R18" s="50"/>
      <c r="S18" s="50"/>
      <c r="T18" s="50"/>
      <c r="U18" s="50"/>
      <c r="V18" s="50"/>
      <c r="W18" s="50"/>
      <c r="X18" s="50"/>
      <c r="Y18" s="50"/>
      <c r="Z18" s="339"/>
    </row>
    <row r="19" spans="1:26" ht="15.75" customHeight="1" x14ac:dyDescent="0.35">
      <c r="A19" s="50"/>
      <c r="B19" s="342" t="s">
        <v>398</v>
      </c>
      <c r="C19" s="310"/>
      <c r="D19" s="297"/>
      <c r="E19" s="91"/>
      <c r="F19" s="91"/>
      <c r="G19" s="91"/>
      <c r="H19" s="92"/>
      <c r="I19" s="50"/>
      <c r="J19" s="50"/>
      <c r="K19" s="50"/>
      <c r="L19" s="50"/>
      <c r="M19" s="50"/>
      <c r="N19" s="50"/>
      <c r="O19" s="50"/>
      <c r="P19" s="50"/>
      <c r="Q19" s="50"/>
      <c r="R19" s="50"/>
      <c r="S19" s="50"/>
      <c r="T19" s="50"/>
      <c r="U19" s="50"/>
      <c r="V19" s="50"/>
      <c r="W19" s="50"/>
      <c r="X19" s="50"/>
      <c r="Y19" s="50"/>
      <c r="Z19" s="339"/>
    </row>
    <row r="20" spans="1:26" ht="15.75" customHeight="1" x14ac:dyDescent="0.35">
      <c r="A20" s="50"/>
      <c r="B20" s="154" t="s">
        <v>399</v>
      </c>
      <c r="C20" s="310" t="s">
        <v>388</v>
      </c>
      <c r="D20" s="343">
        <v>1.5</v>
      </c>
      <c r="E20" s="91" t="s">
        <v>400</v>
      </c>
      <c r="F20" s="91"/>
      <c r="G20" s="91"/>
      <c r="H20" s="92"/>
      <c r="I20" s="50"/>
      <c r="J20" s="50"/>
      <c r="K20" s="50"/>
      <c r="L20" s="50"/>
      <c r="M20" s="50"/>
      <c r="N20" s="50"/>
      <c r="O20" s="50"/>
      <c r="P20" s="50"/>
      <c r="Q20" s="50"/>
      <c r="R20" s="50"/>
      <c r="S20" s="50"/>
      <c r="T20" s="50"/>
      <c r="U20" s="50"/>
      <c r="V20" s="50"/>
      <c r="W20" s="50"/>
      <c r="X20" s="50"/>
      <c r="Y20" s="50"/>
      <c r="Z20" s="339"/>
    </row>
    <row r="21" spans="1:26" ht="15.75" customHeight="1" x14ac:dyDescent="0.35">
      <c r="A21" s="50"/>
      <c r="B21" s="154" t="s">
        <v>391</v>
      </c>
      <c r="C21" s="310" t="s">
        <v>392</v>
      </c>
      <c r="D21" s="298">
        <v>25</v>
      </c>
      <c r="E21" s="91" t="s">
        <v>393</v>
      </c>
      <c r="F21" s="91"/>
      <c r="G21" s="91"/>
      <c r="H21" s="92"/>
      <c r="I21" s="50"/>
      <c r="J21" s="50"/>
      <c r="K21" s="50"/>
      <c r="L21" s="50"/>
      <c r="M21" s="50"/>
      <c r="N21" s="50"/>
      <c r="O21" s="50"/>
      <c r="P21" s="50"/>
      <c r="Q21" s="50"/>
      <c r="R21" s="50"/>
      <c r="S21" s="50"/>
      <c r="T21" s="50"/>
      <c r="U21" s="50"/>
      <c r="V21" s="50"/>
      <c r="W21" s="50"/>
      <c r="X21" s="50"/>
      <c r="Y21" s="50"/>
      <c r="Z21" s="339"/>
    </row>
    <row r="22" spans="1:26" ht="15.75" customHeight="1" x14ac:dyDescent="0.35">
      <c r="A22" s="50"/>
      <c r="B22" s="154" t="s">
        <v>394</v>
      </c>
      <c r="C22" s="310" t="s">
        <v>94</v>
      </c>
      <c r="D22" s="298">
        <v>75</v>
      </c>
      <c r="E22" s="91" t="s">
        <v>401</v>
      </c>
      <c r="F22" s="91"/>
      <c r="G22" s="91"/>
      <c r="H22" s="92"/>
      <c r="I22" s="50"/>
      <c r="J22" s="50"/>
      <c r="K22" s="50"/>
      <c r="L22" s="50"/>
      <c r="M22" s="50"/>
      <c r="N22" s="50"/>
      <c r="O22" s="50"/>
      <c r="P22" s="50"/>
      <c r="Q22" s="50"/>
      <c r="R22" s="50"/>
      <c r="S22" s="50"/>
      <c r="T22" s="50"/>
      <c r="U22" s="50"/>
      <c r="V22" s="50"/>
      <c r="W22" s="50"/>
      <c r="X22" s="50"/>
      <c r="Y22" s="50"/>
      <c r="Z22" s="339"/>
    </row>
    <row r="23" spans="1:26" ht="15.75" customHeight="1" x14ac:dyDescent="0.35">
      <c r="A23" s="50"/>
      <c r="B23" s="154" t="s">
        <v>396</v>
      </c>
      <c r="C23" s="310" t="s">
        <v>94</v>
      </c>
      <c r="D23" s="306">
        <f>D18</f>
        <v>5</v>
      </c>
      <c r="E23" s="91" t="s">
        <v>397</v>
      </c>
      <c r="F23" s="91"/>
      <c r="G23" s="91"/>
      <c r="H23" s="92"/>
      <c r="I23" s="50"/>
      <c r="J23" s="50"/>
      <c r="K23" s="50"/>
      <c r="L23" s="50"/>
      <c r="M23" s="50"/>
      <c r="N23" s="50"/>
      <c r="O23" s="50"/>
      <c r="P23" s="50"/>
      <c r="Q23" s="50"/>
      <c r="R23" s="50"/>
      <c r="S23" s="50"/>
      <c r="T23" s="50"/>
      <c r="U23" s="50"/>
      <c r="V23" s="50"/>
      <c r="W23" s="50"/>
      <c r="X23" s="50"/>
      <c r="Y23" s="50"/>
      <c r="Z23" s="339"/>
    </row>
    <row r="24" spans="1:26" ht="15.75" customHeight="1" x14ac:dyDescent="0.35">
      <c r="A24" s="50"/>
      <c r="B24" s="342" t="s">
        <v>402</v>
      </c>
      <c r="C24" s="310"/>
      <c r="D24" s="341"/>
      <c r="E24" s="91"/>
      <c r="F24" s="91"/>
      <c r="G24" s="91"/>
      <c r="H24" s="92"/>
      <c r="I24" s="50"/>
      <c r="J24" s="50"/>
      <c r="K24" s="50"/>
      <c r="L24" s="50"/>
      <c r="M24" s="50"/>
      <c r="N24" s="50"/>
      <c r="O24" s="50"/>
      <c r="P24" s="50"/>
      <c r="Q24" s="50"/>
      <c r="R24" s="50"/>
      <c r="S24" s="50"/>
      <c r="T24" s="50"/>
      <c r="U24" s="50"/>
      <c r="V24" s="50"/>
      <c r="W24" s="50"/>
      <c r="X24" s="50"/>
      <c r="Y24" s="50"/>
      <c r="Z24" s="339"/>
    </row>
    <row r="25" spans="1:26" ht="15.75" customHeight="1" x14ac:dyDescent="0.35">
      <c r="A25" s="50"/>
      <c r="B25" s="154" t="s">
        <v>387</v>
      </c>
      <c r="C25" s="310" t="s">
        <v>388</v>
      </c>
      <c r="D25" s="298">
        <v>20</v>
      </c>
      <c r="E25" s="91" t="s">
        <v>389</v>
      </c>
      <c r="F25" s="91"/>
      <c r="G25" s="91"/>
      <c r="H25" s="92"/>
      <c r="I25" s="50"/>
      <c r="J25" s="50"/>
      <c r="K25" s="50"/>
      <c r="L25" s="50"/>
      <c r="M25" s="50"/>
      <c r="N25" s="50"/>
      <c r="O25" s="50"/>
      <c r="P25" s="50"/>
      <c r="Q25" s="50"/>
      <c r="R25" s="50"/>
      <c r="S25" s="50"/>
      <c r="T25" s="50"/>
      <c r="U25" s="50"/>
      <c r="V25" s="50"/>
      <c r="W25" s="50"/>
      <c r="X25" s="50"/>
      <c r="Y25" s="50"/>
      <c r="Z25" s="339"/>
    </row>
    <row r="26" spans="1:26" ht="15.75" customHeight="1" x14ac:dyDescent="0.35">
      <c r="A26" s="50"/>
      <c r="B26" s="154" t="s">
        <v>403</v>
      </c>
      <c r="C26" s="310" t="s">
        <v>94</v>
      </c>
      <c r="D26" s="298">
        <v>1</v>
      </c>
      <c r="E26" s="91" t="s">
        <v>404</v>
      </c>
      <c r="F26" s="91"/>
      <c r="G26" s="91"/>
      <c r="H26" s="92"/>
      <c r="I26" s="50"/>
      <c r="J26" s="50"/>
      <c r="K26" s="50"/>
      <c r="L26" s="50"/>
      <c r="M26" s="50"/>
      <c r="N26" s="50"/>
      <c r="O26" s="50"/>
      <c r="P26" s="50"/>
      <c r="Q26" s="50"/>
      <c r="R26" s="50"/>
      <c r="S26" s="50"/>
      <c r="T26" s="50"/>
      <c r="U26" s="50"/>
      <c r="V26" s="50"/>
      <c r="W26" s="50"/>
      <c r="X26" s="50"/>
      <c r="Y26" s="50"/>
      <c r="Z26" s="339"/>
    </row>
    <row r="27" spans="1:26" ht="15.75" customHeight="1" x14ac:dyDescent="0.35">
      <c r="A27" s="50"/>
      <c r="B27" s="154" t="s">
        <v>391</v>
      </c>
      <c r="C27" s="310"/>
      <c r="D27" s="297"/>
      <c r="E27" s="91"/>
      <c r="F27" s="91"/>
      <c r="G27" s="91"/>
      <c r="H27" s="92"/>
      <c r="I27" s="50"/>
      <c r="J27" s="50"/>
      <c r="K27" s="50"/>
      <c r="L27" s="50"/>
      <c r="M27" s="50"/>
      <c r="N27" s="50"/>
      <c r="O27" s="50"/>
      <c r="P27" s="50"/>
      <c r="Q27" s="50"/>
      <c r="R27" s="50"/>
      <c r="S27" s="50"/>
      <c r="T27" s="50"/>
      <c r="U27" s="50"/>
      <c r="V27" s="50"/>
      <c r="W27" s="50"/>
      <c r="X27" s="50"/>
      <c r="Y27" s="50"/>
      <c r="Z27" s="339"/>
    </row>
    <row r="28" spans="1:26" ht="15.75" customHeight="1" x14ac:dyDescent="0.35">
      <c r="A28" s="50"/>
      <c r="B28" s="322" t="s">
        <v>405</v>
      </c>
      <c r="C28" s="310" t="s">
        <v>392</v>
      </c>
      <c r="D28" s="298">
        <v>50</v>
      </c>
      <c r="E28" s="91" t="s">
        <v>393</v>
      </c>
      <c r="F28" s="91"/>
      <c r="G28" s="91"/>
      <c r="H28" s="92"/>
      <c r="I28" s="50"/>
      <c r="J28" s="50"/>
      <c r="K28" s="50"/>
      <c r="L28" s="50"/>
      <c r="M28" s="50"/>
      <c r="N28" s="50"/>
      <c r="O28" s="50"/>
      <c r="P28" s="50"/>
      <c r="Q28" s="50"/>
      <c r="R28" s="50"/>
      <c r="S28" s="50"/>
      <c r="T28" s="50"/>
      <c r="U28" s="50"/>
      <c r="V28" s="50"/>
      <c r="W28" s="50"/>
      <c r="X28" s="50"/>
      <c r="Y28" s="50"/>
      <c r="Z28" s="339"/>
    </row>
    <row r="29" spans="1:26" ht="15.75" customHeight="1" x14ac:dyDescent="0.35">
      <c r="A29" s="50"/>
      <c r="B29" s="322" t="s">
        <v>406</v>
      </c>
      <c r="C29" s="310" t="s">
        <v>392</v>
      </c>
      <c r="D29" s="298">
        <v>50</v>
      </c>
      <c r="E29" s="91" t="s">
        <v>393</v>
      </c>
      <c r="F29" s="91"/>
      <c r="G29" s="91"/>
      <c r="H29" s="92"/>
      <c r="I29" s="50"/>
      <c r="J29" s="50"/>
      <c r="K29" s="50"/>
      <c r="L29" s="50"/>
      <c r="M29" s="50"/>
      <c r="N29" s="50"/>
      <c r="O29" s="50"/>
      <c r="P29" s="50"/>
      <c r="Q29" s="50"/>
      <c r="R29" s="50"/>
      <c r="S29" s="50"/>
      <c r="T29" s="50"/>
      <c r="U29" s="50"/>
      <c r="V29" s="50"/>
      <c r="W29" s="50"/>
      <c r="X29" s="50"/>
      <c r="Y29" s="50"/>
      <c r="Z29" s="339"/>
    </row>
    <row r="30" spans="1:26" ht="15.75" customHeight="1" x14ac:dyDescent="0.35">
      <c r="A30" s="50"/>
      <c r="B30" s="154" t="s">
        <v>407</v>
      </c>
      <c r="C30" s="310"/>
      <c r="D30" s="297"/>
      <c r="E30" s="91"/>
      <c r="F30" s="91"/>
      <c r="G30" s="91"/>
      <c r="H30" s="92"/>
      <c r="I30" s="50"/>
      <c r="J30" s="50"/>
      <c r="K30" s="50"/>
      <c r="L30" s="50"/>
      <c r="M30" s="50"/>
      <c r="N30" s="50"/>
      <c r="O30" s="50"/>
      <c r="P30" s="50"/>
      <c r="Q30" s="50"/>
      <c r="R30" s="50"/>
      <c r="S30" s="50"/>
      <c r="T30" s="50"/>
      <c r="U30" s="50"/>
      <c r="V30" s="50"/>
      <c r="W30" s="50"/>
      <c r="X30" s="50"/>
      <c r="Y30" s="50"/>
      <c r="Z30" s="339"/>
    </row>
    <row r="31" spans="1:26" ht="15.75" customHeight="1" x14ac:dyDescent="0.35">
      <c r="A31" s="50"/>
      <c r="B31" s="322" t="s">
        <v>405</v>
      </c>
      <c r="C31" s="310" t="s">
        <v>94</v>
      </c>
      <c r="D31" s="298">
        <v>1</v>
      </c>
      <c r="E31" s="91" t="s">
        <v>408</v>
      </c>
      <c r="F31" s="91"/>
      <c r="G31" s="91"/>
      <c r="H31" s="92"/>
      <c r="I31" s="50"/>
      <c r="J31" s="50"/>
      <c r="K31" s="50"/>
      <c r="L31" s="50"/>
      <c r="M31" s="50"/>
      <c r="N31" s="50"/>
      <c r="O31" s="50"/>
      <c r="P31" s="50"/>
      <c r="Q31" s="50"/>
      <c r="R31" s="50"/>
      <c r="S31" s="50"/>
      <c r="T31" s="50"/>
      <c r="U31" s="50"/>
      <c r="V31" s="50"/>
      <c r="W31" s="50"/>
      <c r="X31" s="50"/>
      <c r="Y31" s="50"/>
      <c r="Z31" s="339"/>
    </row>
    <row r="32" spans="1:26" ht="15.75" customHeight="1" x14ac:dyDescent="0.35">
      <c r="A32" s="50"/>
      <c r="B32" s="322" t="s">
        <v>406</v>
      </c>
      <c r="C32" s="310" t="s">
        <v>94</v>
      </c>
      <c r="D32" s="298">
        <v>1</v>
      </c>
      <c r="E32" s="91" t="s">
        <v>408</v>
      </c>
      <c r="F32" s="91"/>
      <c r="G32" s="91"/>
      <c r="H32" s="92"/>
      <c r="I32" s="50"/>
      <c r="J32" s="50"/>
      <c r="K32" s="50"/>
      <c r="L32" s="50"/>
      <c r="M32" s="50"/>
      <c r="N32" s="50"/>
      <c r="O32" s="50"/>
      <c r="P32" s="50"/>
      <c r="Q32" s="50"/>
      <c r="R32" s="50"/>
      <c r="S32" s="50"/>
      <c r="T32" s="50"/>
      <c r="U32" s="50"/>
      <c r="V32" s="50"/>
      <c r="W32" s="50"/>
      <c r="X32" s="50"/>
      <c r="Y32" s="50"/>
      <c r="Z32" s="339"/>
    </row>
    <row r="33" spans="1:26" ht="15.75" customHeight="1" x14ac:dyDescent="0.35">
      <c r="A33" s="50"/>
      <c r="B33" s="344" t="s">
        <v>409</v>
      </c>
      <c r="C33" s="310"/>
      <c r="D33" s="297"/>
      <c r="E33" s="91"/>
      <c r="F33" s="91"/>
      <c r="G33" s="91"/>
      <c r="H33" s="92"/>
      <c r="I33" s="50"/>
      <c r="J33" s="50"/>
      <c r="K33" s="50"/>
      <c r="L33" s="50"/>
      <c r="M33" s="50"/>
      <c r="N33" s="50"/>
      <c r="O33" s="50"/>
      <c r="P33" s="50"/>
      <c r="Q33" s="50"/>
      <c r="R33" s="50"/>
      <c r="S33" s="50"/>
      <c r="T33" s="50"/>
      <c r="U33" s="50"/>
      <c r="V33" s="50"/>
      <c r="W33" s="50"/>
      <c r="X33" s="50"/>
      <c r="Y33" s="50"/>
      <c r="Z33" s="339"/>
    </row>
    <row r="34" spans="1:26" ht="15.75" customHeight="1" x14ac:dyDescent="0.35">
      <c r="A34" s="50"/>
      <c r="B34" s="154" t="s">
        <v>387</v>
      </c>
      <c r="C34" s="310" t="s">
        <v>388</v>
      </c>
      <c r="D34" s="298">
        <v>1</v>
      </c>
      <c r="E34" s="91" t="s">
        <v>389</v>
      </c>
      <c r="F34" s="91"/>
      <c r="G34" s="91"/>
      <c r="H34" s="92"/>
      <c r="I34" s="50"/>
      <c r="J34" s="50"/>
      <c r="K34" s="50"/>
      <c r="L34" s="50"/>
      <c r="M34" s="50"/>
      <c r="N34" s="50"/>
      <c r="O34" s="50"/>
      <c r="P34" s="50"/>
      <c r="Q34" s="50"/>
      <c r="R34" s="50"/>
      <c r="S34" s="50"/>
      <c r="T34" s="50"/>
      <c r="U34" s="50"/>
      <c r="V34" s="50"/>
      <c r="W34" s="50"/>
      <c r="X34" s="50"/>
      <c r="Y34" s="50"/>
      <c r="Z34" s="339"/>
    </row>
    <row r="35" spans="1:26" ht="15.75" customHeight="1" x14ac:dyDescent="0.35">
      <c r="A35" s="50"/>
      <c r="B35" s="154" t="s">
        <v>390</v>
      </c>
      <c r="C35" s="310" t="s">
        <v>94</v>
      </c>
      <c r="D35" s="316">
        <f>D34*12</f>
        <v>12</v>
      </c>
      <c r="E35" s="91" t="s">
        <v>117</v>
      </c>
      <c r="F35" s="91"/>
      <c r="G35" s="91"/>
      <c r="H35" s="92"/>
      <c r="I35" s="50"/>
      <c r="J35" s="50"/>
      <c r="K35" s="50"/>
      <c r="L35" s="50"/>
      <c r="M35" s="50"/>
      <c r="N35" s="50"/>
      <c r="O35" s="50"/>
      <c r="P35" s="50"/>
      <c r="Q35" s="50"/>
      <c r="R35" s="50"/>
      <c r="S35" s="50"/>
      <c r="T35" s="50"/>
      <c r="U35" s="50"/>
      <c r="V35" s="50"/>
      <c r="W35" s="50"/>
      <c r="X35" s="50"/>
      <c r="Y35" s="50"/>
      <c r="Z35" s="339"/>
    </row>
    <row r="36" spans="1:26" ht="15.75" customHeight="1" x14ac:dyDescent="0.35">
      <c r="A36" s="50"/>
      <c r="B36" s="154" t="s">
        <v>391</v>
      </c>
      <c r="C36" s="310" t="s">
        <v>392</v>
      </c>
      <c r="D36" s="298">
        <v>40</v>
      </c>
      <c r="E36" s="91" t="s">
        <v>393</v>
      </c>
      <c r="F36" s="91"/>
      <c r="G36" s="91"/>
      <c r="H36" s="92"/>
      <c r="I36" s="50"/>
      <c r="J36" s="50"/>
      <c r="K36" s="50"/>
      <c r="L36" s="50"/>
      <c r="M36" s="50"/>
      <c r="N36" s="50"/>
      <c r="O36" s="50"/>
      <c r="P36" s="50"/>
      <c r="Q36" s="50"/>
      <c r="R36" s="50"/>
      <c r="S36" s="50"/>
      <c r="T36" s="50"/>
      <c r="U36" s="50"/>
      <c r="V36" s="50"/>
      <c r="W36" s="50"/>
      <c r="X36" s="50"/>
      <c r="Y36" s="50"/>
      <c r="Z36" s="339"/>
    </row>
    <row r="37" spans="1:26" ht="15.75" customHeight="1" x14ac:dyDescent="0.35">
      <c r="A37" s="50"/>
      <c r="B37" s="154" t="s">
        <v>394</v>
      </c>
      <c r="C37" s="310" t="s">
        <v>94</v>
      </c>
      <c r="D37" s="298">
        <v>2</v>
      </c>
      <c r="E37" s="91" t="s">
        <v>408</v>
      </c>
      <c r="F37" s="91"/>
      <c r="G37" s="91"/>
      <c r="H37" s="92"/>
      <c r="I37" s="50"/>
      <c r="J37" s="50"/>
      <c r="K37" s="50"/>
      <c r="L37" s="50"/>
      <c r="M37" s="50"/>
      <c r="N37" s="50"/>
      <c r="O37" s="50"/>
      <c r="P37" s="50"/>
      <c r="Q37" s="50"/>
      <c r="R37" s="50"/>
      <c r="S37" s="50"/>
      <c r="T37" s="50"/>
      <c r="U37" s="50"/>
      <c r="V37" s="50"/>
      <c r="W37" s="50"/>
      <c r="X37" s="50"/>
      <c r="Y37" s="50"/>
      <c r="Z37" s="339"/>
    </row>
    <row r="38" spans="1:26" ht="15.75" customHeight="1" x14ac:dyDescent="0.35">
      <c r="A38" s="50"/>
      <c r="B38" s="154" t="s">
        <v>410</v>
      </c>
      <c r="C38" s="310" t="s">
        <v>94</v>
      </c>
      <c r="D38" s="298">
        <v>2</v>
      </c>
      <c r="E38" s="91" t="s">
        <v>411</v>
      </c>
      <c r="F38" s="91"/>
      <c r="G38" s="91"/>
      <c r="H38" s="92"/>
      <c r="I38" s="50"/>
      <c r="J38" s="50"/>
      <c r="K38" s="50"/>
      <c r="L38" s="50"/>
      <c r="M38" s="50"/>
      <c r="N38" s="50"/>
      <c r="O38" s="50"/>
      <c r="P38" s="50"/>
      <c r="Q38" s="50"/>
      <c r="R38" s="50"/>
      <c r="S38" s="50"/>
      <c r="T38" s="50"/>
      <c r="U38" s="50"/>
      <c r="V38" s="50"/>
      <c r="W38" s="50"/>
      <c r="X38" s="50"/>
      <c r="Y38" s="50"/>
      <c r="Z38" s="50"/>
    </row>
    <row r="39" spans="1:26" ht="15.75" customHeight="1" x14ac:dyDescent="0.35">
      <c r="A39" s="50"/>
      <c r="B39" s="154" t="s">
        <v>412</v>
      </c>
      <c r="C39" s="310" t="s">
        <v>109</v>
      </c>
      <c r="D39" s="345">
        <v>2.5000000000000001E-2</v>
      </c>
      <c r="E39" s="91" t="s">
        <v>413</v>
      </c>
      <c r="F39" s="91"/>
      <c r="G39" s="91"/>
      <c r="H39" s="92"/>
      <c r="I39" s="50"/>
      <c r="J39" s="50"/>
      <c r="K39" s="50"/>
      <c r="L39" s="50"/>
      <c r="M39" s="50"/>
      <c r="N39" s="50"/>
      <c r="O39" s="50"/>
      <c r="P39" s="50"/>
      <c r="Q39" s="50"/>
      <c r="R39" s="50"/>
      <c r="S39" s="50"/>
      <c r="T39" s="50"/>
      <c r="U39" s="50"/>
      <c r="V39" s="50"/>
      <c r="W39" s="50"/>
      <c r="X39" s="50"/>
      <c r="Y39" s="50"/>
      <c r="Z39" s="50"/>
    </row>
    <row r="40" spans="1:26" ht="15.75" customHeight="1" x14ac:dyDescent="0.35">
      <c r="A40" s="50"/>
      <c r="B40" s="346" t="s">
        <v>127</v>
      </c>
      <c r="C40" s="347" t="s">
        <v>109</v>
      </c>
      <c r="D40" s="235">
        <f>'1.Red. Purch. Cost Patient Care'!D68</f>
        <v>0.05</v>
      </c>
      <c r="E40" s="109" t="s">
        <v>414</v>
      </c>
      <c r="F40" s="109"/>
      <c r="G40" s="109"/>
      <c r="H40" s="158"/>
      <c r="I40" s="50"/>
      <c r="J40" s="50"/>
      <c r="K40" s="50"/>
      <c r="L40" s="50"/>
      <c r="M40" s="50"/>
      <c r="N40" s="50"/>
      <c r="O40" s="50"/>
      <c r="P40" s="50"/>
      <c r="Q40" s="50"/>
      <c r="R40" s="50"/>
      <c r="S40" s="50"/>
      <c r="T40" s="50"/>
      <c r="U40" s="50"/>
      <c r="V40" s="50"/>
      <c r="W40" s="50"/>
      <c r="X40" s="50"/>
      <c r="Y40" s="50"/>
      <c r="Z40" s="50"/>
    </row>
    <row r="41" spans="1:26" ht="15.75" customHeight="1" x14ac:dyDescent="0.35">
      <c r="A41" s="50"/>
      <c r="B41" s="348"/>
      <c r="C41" s="63"/>
      <c r="D41" s="328"/>
      <c r="E41" s="50"/>
      <c r="F41" s="50"/>
      <c r="G41" s="50"/>
      <c r="H41" s="50"/>
      <c r="I41" s="50"/>
      <c r="J41" s="50"/>
      <c r="K41" s="50"/>
      <c r="L41" s="50"/>
      <c r="M41" s="50"/>
      <c r="N41" s="50"/>
      <c r="O41" s="50"/>
      <c r="P41" s="50"/>
      <c r="Q41" s="50"/>
      <c r="R41" s="50"/>
      <c r="S41" s="50"/>
      <c r="T41" s="50"/>
      <c r="U41" s="50"/>
      <c r="V41" s="50"/>
      <c r="W41" s="50"/>
      <c r="X41" s="50"/>
      <c r="Y41" s="50"/>
      <c r="Z41" s="50"/>
    </row>
    <row r="42" spans="1:26" ht="15.75" customHeight="1" x14ac:dyDescent="0.35">
      <c r="A42" s="50"/>
      <c r="B42" s="349"/>
      <c r="C42" s="63"/>
      <c r="D42" s="328"/>
      <c r="E42" s="50"/>
      <c r="F42" s="50"/>
      <c r="G42" s="50"/>
      <c r="H42" s="50"/>
      <c r="I42" s="50"/>
      <c r="J42" s="50"/>
      <c r="K42" s="50"/>
      <c r="L42" s="50"/>
      <c r="M42" s="50"/>
      <c r="N42" s="50"/>
      <c r="O42" s="50"/>
      <c r="P42" s="50"/>
      <c r="Q42" s="50"/>
      <c r="R42" s="50"/>
      <c r="S42" s="50"/>
      <c r="T42" s="50"/>
      <c r="U42" s="50"/>
      <c r="V42" s="50"/>
      <c r="W42" s="50"/>
      <c r="X42" s="50"/>
      <c r="Y42" s="50"/>
      <c r="Z42" s="50"/>
    </row>
    <row r="43" spans="1:26" ht="15.75" customHeight="1" x14ac:dyDescent="0.35">
      <c r="A43" s="50"/>
      <c r="B43" s="35" t="s">
        <v>55</v>
      </c>
      <c r="C43" s="38"/>
      <c r="D43" s="565" t="s">
        <v>129</v>
      </c>
      <c r="E43" s="552"/>
      <c r="F43" s="553"/>
      <c r="G43" s="112" t="s">
        <v>130</v>
      </c>
      <c r="H43" s="38"/>
      <c r="I43" s="38">
        <f t="shared" ref="I43:P43" si="0">+H43+1</f>
        <v>1</v>
      </c>
      <c r="J43" s="38">
        <f t="shared" si="0"/>
        <v>2</v>
      </c>
      <c r="K43" s="38">
        <f t="shared" si="0"/>
        <v>3</v>
      </c>
      <c r="L43" s="38">
        <f t="shared" si="0"/>
        <v>4</v>
      </c>
      <c r="M43" s="38">
        <f t="shared" si="0"/>
        <v>5</v>
      </c>
      <c r="N43" s="38">
        <f t="shared" si="0"/>
        <v>6</v>
      </c>
      <c r="O43" s="38">
        <f t="shared" si="0"/>
        <v>7</v>
      </c>
      <c r="P43" s="39">
        <f t="shared" si="0"/>
        <v>8</v>
      </c>
      <c r="Q43" s="50"/>
      <c r="R43" s="50"/>
      <c r="S43" s="50"/>
      <c r="T43" s="50"/>
      <c r="U43" s="50"/>
      <c r="V43" s="50"/>
      <c r="W43" s="50"/>
      <c r="X43" s="50"/>
      <c r="Y43" s="50"/>
      <c r="Z43" s="50"/>
    </row>
    <row r="44" spans="1:26" ht="15.75" customHeight="1" x14ac:dyDescent="0.35">
      <c r="A44" s="50"/>
      <c r="B44" s="40"/>
      <c r="C44" s="113"/>
      <c r="D44" s="43">
        <v>1</v>
      </c>
      <c r="E44" s="43">
        <f>+D44+1</f>
        <v>2</v>
      </c>
      <c r="F44" s="43">
        <f t="shared" ref="F44:P44" si="1">E44+1</f>
        <v>3</v>
      </c>
      <c r="G44" s="43">
        <f t="shared" si="1"/>
        <v>4</v>
      </c>
      <c r="H44" s="43">
        <f t="shared" si="1"/>
        <v>5</v>
      </c>
      <c r="I44" s="43">
        <f t="shared" si="1"/>
        <v>6</v>
      </c>
      <c r="J44" s="43">
        <f t="shared" si="1"/>
        <v>7</v>
      </c>
      <c r="K44" s="43">
        <f t="shared" si="1"/>
        <v>8</v>
      </c>
      <c r="L44" s="43">
        <f t="shared" si="1"/>
        <v>9</v>
      </c>
      <c r="M44" s="43">
        <f t="shared" si="1"/>
        <v>10</v>
      </c>
      <c r="N44" s="43">
        <f t="shared" si="1"/>
        <v>11</v>
      </c>
      <c r="O44" s="43">
        <f t="shared" si="1"/>
        <v>12</v>
      </c>
      <c r="P44" s="114">
        <f t="shared" si="1"/>
        <v>13</v>
      </c>
      <c r="Q44" s="50"/>
      <c r="R44" s="50"/>
      <c r="S44" s="50"/>
      <c r="T44" s="50"/>
      <c r="U44" s="50"/>
      <c r="V44" s="50"/>
      <c r="W44" s="50"/>
      <c r="X44" s="50"/>
      <c r="Y44" s="50"/>
      <c r="Z44" s="50"/>
    </row>
    <row r="45" spans="1:26" ht="15.75" customHeight="1" x14ac:dyDescent="0.35">
      <c r="A45" s="50"/>
      <c r="B45" s="46" t="s">
        <v>415</v>
      </c>
      <c r="C45" s="47"/>
      <c r="D45" s="49"/>
      <c r="E45" s="49"/>
      <c r="F45" s="49"/>
      <c r="G45" s="49"/>
      <c r="H45" s="49"/>
      <c r="I45" s="49"/>
      <c r="J45" s="49"/>
      <c r="K45" s="49"/>
      <c r="L45" s="49"/>
      <c r="M45" s="49"/>
      <c r="N45" s="50"/>
      <c r="O45" s="50"/>
      <c r="P45" s="115"/>
      <c r="Q45" s="50"/>
      <c r="R45" s="50"/>
      <c r="S45" s="50"/>
      <c r="T45" s="50"/>
      <c r="U45" s="50"/>
      <c r="V45" s="50"/>
      <c r="W45" s="50"/>
      <c r="X45" s="50"/>
      <c r="Y45" s="50"/>
      <c r="Z45" s="50"/>
    </row>
    <row r="46" spans="1:26" ht="15.75" customHeight="1" x14ac:dyDescent="0.35">
      <c r="A46" s="50"/>
      <c r="B46" s="175" t="s">
        <v>416</v>
      </c>
      <c r="C46" s="116"/>
      <c r="D46" s="49">
        <f>D12</f>
        <v>13000</v>
      </c>
      <c r="E46" s="49">
        <f>D46*(1+$D$39)^1</f>
        <v>13324.999999999998</v>
      </c>
      <c r="F46" s="49">
        <f t="shared" ref="F46:P46" si="2">E46*(1+$D$39)</f>
        <v>13658.124999999996</v>
      </c>
      <c r="G46" s="49">
        <f t="shared" si="2"/>
        <v>13999.578124999995</v>
      </c>
      <c r="H46" s="49">
        <f t="shared" si="2"/>
        <v>14349.567578124994</v>
      </c>
      <c r="I46" s="49">
        <f t="shared" si="2"/>
        <v>14708.306767578117</v>
      </c>
      <c r="J46" s="49">
        <f t="shared" si="2"/>
        <v>15076.014436767568</v>
      </c>
      <c r="K46" s="49">
        <f t="shared" si="2"/>
        <v>15452.914797686755</v>
      </c>
      <c r="L46" s="49">
        <f t="shared" si="2"/>
        <v>15839.237667628922</v>
      </c>
      <c r="M46" s="49">
        <f t="shared" si="2"/>
        <v>16235.218609319643</v>
      </c>
      <c r="N46" s="49">
        <f t="shared" si="2"/>
        <v>16641.099074552632</v>
      </c>
      <c r="O46" s="49">
        <f t="shared" si="2"/>
        <v>17057.126551416448</v>
      </c>
      <c r="P46" s="49">
        <f t="shared" si="2"/>
        <v>17483.554715201859</v>
      </c>
      <c r="Q46" s="50"/>
      <c r="R46" s="50"/>
      <c r="S46" s="50"/>
      <c r="T46" s="50"/>
      <c r="U46" s="50"/>
      <c r="V46" s="50"/>
      <c r="W46" s="50"/>
      <c r="X46" s="50"/>
      <c r="Y46" s="50"/>
      <c r="Z46" s="50"/>
    </row>
    <row r="47" spans="1:26" ht="15.75" customHeight="1" x14ac:dyDescent="0.35">
      <c r="A47" s="50"/>
      <c r="B47" s="175"/>
      <c r="C47" s="116"/>
      <c r="D47" s="49"/>
      <c r="E47" s="49"/>
      <c r="F47" s="49"/>
      <c r="G47" s="49"/>
      <c r="H47" s="49"/>
      <c r="I47" s="49"/>
      <c r="J47" s="49"/>
      <c r="K47" s="49"/>
      <c r="L47" s="49"/>
      <c r="M47" s="49"/>
      <c r="N47" s="49"/>
      <c r="O47" s="49"/>
      <c r="P47" s="117"/>
      <c r="Q47" s="50"/>
      <c r="R47" s="50"/>
      <c r="S47" s="50"/>
      <c r="T47" s="50"/>
      <c r="U47" s="50"/>
      <c r="V47" s="50"/>
      <c r="W47" s="50"/>
      <c r="X47" s="50"/>
      <c r="Y47" s="50"/>
      <c r="Z47" s="50"/>
    </row>
    <row r="48" spans="1:26" ht="15.75" customHeight="1" x14ac:dyDescent="0.35">
      <c r="A48" s="50"/>
      <c r="B48" s="175" t="s">
        <v>417</v>
      </c>
      <c r="C48" s="116"/>
      <c r="D48" s="49"/>
      <c r="E48" s="49"/>
      <c r="F48" s="49"/>
      <c r="G48" s="49"/>
      <c r="H48" s="49"/>
      <c r="I48" s="49"/>
      <c r="J48" s="49"/>
      <c r="K48" s="49"/>
      <c r="L48" s="49"/>
      <c r="M48" s="49"/>
      <c r="N48" s="49"/>
      <c r="O48" s="49"/>
      <c r="P48" s="117"/>
      <c r="Q48" s="50"/>
      <c r="R48" s="50"/>
      <c r="S48" s="50"/>
      <c r="T48" s="50"/>
      <c r="U48" s="50"/>
      <c r="V48" s="50"/>
      <c r="W48" s="50"/>
      <c r="X48" s="50"/>
      <c r="Y48" s="50"/>
      <c r="Z48" s="50"/>
    </row>
    <row r="49" spans="1:26" ht="15.75" customHeight="1" x14ac:dyDescent="0.35">
      <c r="A49" s="50"/>
      <c r="B49" s="53" t="s">
        <v>418</v>
      </c>
      <c r="C49" s="116"/>
      <c r="D49" s="49">
        <f>D15*D16*D17*D18</f>
        <v>4200</v>
      </c>
      <c r="E49" s="49">
        <f>$D$15*($D$16*(1+$D$39)^1)*$D$17*$D$18</f>
        <v>4305</v>
      </c>
      <c r="F49" s="49">
        <f>$D$15*($D$16*(1+$D$39)^2)*$D$17*$D$18</f>
        <v>4412.6249999999991</v>
      </c>
      <c r="G49" s="49">
        <f>$D$15*($D$16*(1+$D$39)^3)*$D$17*$D$18</f>
        <v>4522.9406249999993</v>
      </c>
      <c r="H49" s="49">
        <f>$D$15*($D$16*(1+$D$39)^4)*$D$17*$D$18</f>
        <v>4636.0141406249995</v>
      </c>
      <c r="I49" s="49">
        <f>$D$15*($D$16*(1+$D$39)^5)*$D$17*$D$18</f>
        <v>4751.914494140623</v>
      </c>
      <c r="J49" s="49">
        <f>$D$15*($D$16*(1+$D$39)^6)*$D$17*$D$18</f>
        <v>4870.7123564941385</v>
      </c>
      <c r="K49" s="49">
        <f>$D$15*($D$16*(1+$D$39)^7)*$D$17*$D$18</f>
        <v>4992.4801654064922</v>
      </c>
      <c r="L49" s="49">
        <f>$D$15*($D$16*(1+$D$39)^8)*$D$17*$D$18</f>
        <v>5117.2921695416544</v>
      </c>
      <c r="M49" s="49">
        <f>$D$15*($D$16*(1+$D$39)^9)*$D$17*$D$18</f>
        <v>5245.2244737801948</v>
      </c>
      <c r="N49" s="49">
        <f>$D$15*($D$16*(1+$D$39)^10)*$D$17*$D$18</f>
        <v>5376.3550856246993</v>
      </c>
      <c r="O49" s="49">
        <f>$D$15*($D$16*(1+$D$39)^11)*$D$17*$D$18</f>
        <v>5510.763962765318</v>
      </c>
      <c r="P49" s="117">
        <f>$D$15*($D$16*(1+$D$39)^12)*$D$17*$D$18</f>
        <v>5648.5330618344497</v>
      </c>
      <c r="Q49" s="50"/>
      <c r="R49" s="50"/>
      <c r="S49" s="50"/>
      <c r="T49" s="50"/>
      <c r="U49" s="50"/>
      <c r="V49" s="50"/>
      <c r="W49" s="50"/>
      <c r="X49" s="50"/>
      <c r="Y49" s="50"/>
      <c r="Z49" s="50"/>
    </row>
    <row r="50" spans="1:26" ht="15.75" customHeight="1" x14ac:dyDescent="0.35">
      <c r="A50" s="50"/>
      <c r="B50" s="53" t="s">
        <v>398</v>
      </c>
      <c r="C50" s="116"/>
      <c r="D50" s="49">
        <f>D22*D20*D21*D23</f>
        <v>14062.5</v>
      </c>
      <c r="E50" s="193">
        <f>$D$22*$D$20*$D$21*(1+$D$39)*$D$23</f>
        <v>14414.062499999998</v>
      </c>
      <c r="F50" s="193">
        <f>$D$22*$D$20*$D$21*((1+$D$39)^2)*$D$23</f>
        <v>14774.4140625</v>
      </c>
      <c r="G50" s="193">
        <f>$D$22*$D$20*$D$21*(1+$D$39)^3*$D$23</f>
        <v>15143.774414062498</v>
      </c>
      <c r="H50" s="193">
        <f>$D$22*$D$20*$D$21*(1+$D$39)^4*$D$23</f>
        <v>15522.368774414061</v>
      </c>
      <c r="I50" s="193">
        <f>$D$22*$D$20*$D$21*(1+$D$39)^5*$D$23</f>
        <v>15910.427993774409</v>
      </c>
      <c r="J50" s="193">
        <f>$D$22*$D$20*$D$21*(1+$D$39)^6*$D$23</f>
        <v>16308.188693618768</v>
      </c>
      <c r="K50" s="193">
        <f>$D$22*$D$20*$D$21*(1+$D$39)^7*$D$23</f>
        <v>16715.893410959237</v>
      </c>
      <c r="L50" s="193">
        <f>$D$22*$D$20*$D$21*(1+$D$39)^8*$D$23</f>
        <v>17133.790746233215</v>
      </c>
      <c r="M50" s="193">
        <f>$D$22*$D$20*$D$21*(1+$D$39)^9*$D$23</f>
        <v>17562.135514889047</v>
      </c>
      <c r="N50" s="193">
        <f>$D$22*$D$20*$D$21*(1+$D$39)^10*$D$23</f>
        <v>18001.188902761271</v>
      </c>
      <c r="O50" s="193">
        <f>$D$22*$D$20*$D$21*(1+$D$39)^11*$D$23</f>
        <v>18451.218625330301</v>
      </c>
      <c r="P50" s="350">
        <f>$D$22*$D$20*$D$21*(1+$D$39)^12*$D$23</f>
        <v>18912.49909096356</v>
      </c>
      <c r="Q50" s="50"/>
      <c r="R50" s="50"/>
      <c r="S50" s="50"/>
      <c r="T50" s="50"/>
      <c r="U50" s="50"/>
      <c r="V50" s="50"/>
      <c r="W50" s="50"/>
      <c r="X50" s="50"/>
      <c r="Y50" s="50"/>
      <c r="Z50" s="50"/>
    </row>
    <row r="51" spans="1:26" ht="15.75" customHeight="1" x14ac:dyDescent="0.35">
      <c r="A51" s="50"/>
      <c r="B51" s="161" t="s">
        <v>402</v>
      </c>
      <c r="C51" s="116"/>
      <c r="D51" s="49">
        <f>$D$25*$D$26*($D$28*$D$31)+($D$29*$D$32)</f>
        <v>1050</v>
      </c>
      <c r="E51" s="49">
        <f>$D$25*$D$26*($D$28*(1+$D$39)*$D$31)+($D$29*(1+$D$39)*$D$32)</f>
        <v>1076.2499999999998</v>
      </c>
      <c r="F51" s="49">
        <f>$D$25*$D$26*($D$28*(1+$D$39)^2*$D$31)+($D$29*(1+$D$39)^2*$D$32)</f>
        <v>1103.1562499999998</v>
      </c>
      <c r="G51" s="49">
        <f>$D$25*$D$26*($D$28*(1+$D$39)^3*$D$31)+($D$29*(1+$D$39)^3*$D$32)</f>
        <v>1130.73515625</v>
      </c>
      <c r="H51" s="49">
        <f>$D$25*$D$26*($D$28*(1+$D$39)^4*$D$31)+($D$29*(1+$D$39)^4*$D$32)</f>
        <v>1159.0035351562497</v>
      </c>
      <c r="I51" s="49">
        <f>$D$25*$D$26*($D$28*(1+$D$39)^5*$D$31)+($D$29*(1+$D$39)^5*$D$32)</f>
        <v>1187.978623535156</v>
      </c>
      <c r="J51" s="49">
        <f>$D$25*$D$26*($D$28*(1+$D$39)^6*$D$31)+($D$29*(1+$D$39)^6*$D$32)</f>
        <v>1217.6780891235348</v>
      </c>
      <c r="K51" s="49">
        <f>$D$25*$D$26*($D$28*(1+$D$39)^7*$D$31)+($D$29*(1+$D$39)^7*$D$32)</f>
        <v>1248.1200413516233</v>
      </c>
      <c r="L51" s="49">
        <f>$D$25*$D$26*($D$28*(1+$D$39)^8*$D$31)+($D$29*(1+$D$39)^8*$D$32)</f>
        <v>1279.3230423854136</v>
      </c>
      <c r="M51" s="49">
        <f>$D$25*$D$26*($D$28*(1+$D$39)^9*$D$31)+($D$29*(1+$D$39)^9*$D$32)</f>
        <v>1311.3061184450485</v>
      </c>
      <c r="N51" s="49">
        <f>$D$25*$D$26*($D$28*(1+$D$39)^10*$D$31)+($D$29*(1+$D$39)^10*$D$32)</f>
        <v>1344.0887714061748</v>
      </c>
      <c r="O51" s="49">
        <f>$D$25*$D$26*($D$28*(1+$D$39)^11*$D$31)+($D$29*(1+$D$39)^11*$D$32)</f>
        <v>1377.6909906913293</v>
      </c>
      <c r="P51" s="117">
        <f>$D$25*$D$26*($D$28*(1+$D$39)^12*$D$31)+($D$29*(1+$D$39)^12*$D$32)</f>
        <v>1412.1332654586126</v>
      </c>
      <c r="Q51" s="50"/>
      <c r="R51" s="50"/>
      <c r="S51" s="50"/>
      <c r="T51" s="50"/>
      <c r="U51" s="50"/>
      <c r="V51" s="50"/>
      <c r="W51" s="50"/>
      <c r="X51" s="50"/>
      <c r="Y51" s="50"/>
      <c r="Z51" s="50"/>
    </row>
    <row r="52" spans="1:26" ht="15.75" customHeight="1" x14ac:dyDescent="0.35">
      <c r="A52" s="50"/>
      <c r="B52" s="161" t="s">
        <v>409</v>
      </c>
      <c r="C52" s="116"/>
      <c r="D52" s="49">
        <f>$D$35*$D$36*$D$37*$D$38</f>
        <v>1920</v>
      </c>
      <c r="E52" s="49">
        <f>$D$35*($D$36*(1+$D$39))*$D$37*$D$38</f>
        <v>1968</v>
      </c>
      <c r="F52" s="49">
        <f>$D$35*($D$36*(1+$D$39)^2)*$D$37*$D$38</f>
        <v>2017.1999999999998</v>
      </c>
      <c r="G52" s="49">
        <f>$D$35*($D$36*(1+$D$39)^3)*$D$37*$D$38</f>
        <v>2067.6299999999997</v>
      </c>
      <c r="H52" s="49">
        <f>$D$35*($D$36*(1+$D$39)^4)*$D$37*$D$38</f>
        <v>2119.3207499999999</v>
      </c>
      <c r="I52" s="49">
        <f>$D$35*($D$36*(1+$D$39)^5)*$D$37*$D$38</f>
        <v>2172.3037687499991</v>
      </c>
      <c r="J52" s="49">
        <f>$D$35*($D$36*(1+$D$39)^6)*$D$37*$D$38</f>
        <v>2226.6113629687488</v>
      </c>
      <c r="K52" s="49">
        <f>$D$35*($D$36*(1+$D$39)^7)*$D$37*$D$38</f>
        <v>2282.2766470429679</v>
      </c>
      <c r="L52" s="49">
        <f>$D$35*($D$36*(1+$D$39)^8)*$D$37*$D$38</f>
        <v>2339.3335632190419</v>
      </c>
      <c r="M52" s="49">
        <f>$D$35*($D$36*(1+$D$39)^9)*$D$37*$D$38</f>
        <v>2397.8169022995176</v>
      </c>
      <c r="N52" s="49">
        <f>$D$35*($D$36*(1+$D$39)^10)*$D$37*$D$38</f>
        <v>2457.7623248570053</v>
      </c>
      <c r="O52" s="49">
        <f>$D$35*($D$36*(1+$D$39)^11)*$D$37*$D$38</f>
        <v>2519.2063829784306</v>
      </c>
      <c r="P52" s="117">
        <f>$D$35*($D$36*(1+$D$39)^12)*$D$37*$D$38</f>
        <v>2582.1865425528913</v>
      </c>
      <c r="Q52" s="50"/>
      <c r="R52" s="50"/>
      <c r="S52" s="50"/>
      <c r="T52" s="50"/>
      <c r="U52" s="50"/>
      <c r="V52" s="50"/>
      <c r="W52" s="50"/>
      <c r="X52" s="50"/>
      <c r="Y52" s="50"/>
      <c r="Z52" s="50"/>
    </row>
    <row r="53" spans="1:26" ht="15.75" customHeight="1" x14ac:dyDescent="0.35">
      <c r="A53" s="50"/>
      <c r="B53" s="58" t="s">
        <v>419</v>
      </c>
      <c r="C53" s="65"/>
      <c r="D53" s="118">
        <f>SUM(D49:D52)</f>
        <v>21232.5</v>
      </c>
      <c r="E53" s="118">
        <f t="shared" ref="E53:P53" si="3">SUM(E46:E52)</f>
        <v>35088.3125</v>
      </c>
      <c r="F53" s="118">
        <f t="shared" si="3"/>
        <v>35965.520312499997</v>
      </c>
      <c r="G53" s="118">
        <f t="shared" si="3"/>
        <v>36864.65832031249</v>
      </c>
      <c r="H53" s="118">
        <f t="shared" si="3"/>
        <v>37786.274778320301</v>
      </c>
      <c r="I53" s="118">
        <f t="shared" si="3"/>
        <v>38730.9316477783</v>
      </c>
      <c r="J53" s="118">
        <f t="shared" si="3"/>
        <v>39699.204938972754</v>
      </c>
      <c r="K53" s="118">
        <f t="shared" si="3"/>
        <v>40691.685062447075</v>
      </c>
      <c r="L53" s="118">
        <f t="shared" si="3"/>
        <v>41708.977189008248</v>
      </c>
      <c r="M53" s="118">
        <f t="shared" si="3"/>
        <v>42751.701618733459</v>
      </c>
      <c r="N53" s="118">
        <f t="shared" si="3"/>
        <v>43820.494159201786</v>
      </c>
      <c r="O53" s="118">
        <f t="shared" si="3"/>
        <v>44916.006513181826</v>
      </c>
      <c r="P53" s="119">
        <f t="shared" si="3"/>
        <v>46038.906676011371</v>
      </c>
      <c r="Q53" s="50"/>
      <c r="R53" s="50"/>
      <c r="S53" s="50"/>
      <c r="T53" s="50"/>
      <c r="U53" s="50"/>
      <c r="V53" s="50"/>
      <c r="W53" s="50"/>
      <c r="X53" s="50"/>
      <c r="Y53" s="50"/>
      <c r="Z53" s="50"/>
    </row>
    <row r="54" spans="1:26" ht="15.75" customHeight="1" x14ac:dyDescent="0.35">
      <c r="A54" s="50"/>
      <c r="B54" s="351" t="s">
        <v>420</v>
      </c>
      <c r="C54" s="352"/>
      <c r="D54" s="353">
        <f t="shared" ref="D54:P54" si="4">D46+D53</f>
        <v>34232.5</v>
      </c>
      <c r="E54" s="353">
        <f t="shared" si="4"/>
        <v>48413.3125</v>
      </c>
      <c r="F54" s="353">
        <f t="shared" si="4"/>
        <v>49623.645312499997</v>
      </c>
      <c r="G54" s="353">
        <f t="shared" si="4"/>
        <v>50864.236445312483</v>
      </c>
      <c r="H54" s="353">
        <f t="shared" si="4"/>
        <v>52135.842356445297</v>
      </c>
      <c r="I54" s="353">
        <f t="shared" si="4"/>
        <v>53439.23841535642</v>
      </c>
      <c r="J54" s="353">
        <f t="shared" si="4"/>
        <v>54775.219375740322</v>
      </c>
      <c r="K54" s="353">
        <f t="shared" si="4"/>
        <v>56144.599860133829</v>
      </c>
      <c r="L54" s="353">
        <f t="shared" si="4"/>
        <v>57548.214856637169</v>
      </c>
      <c r="M54" s="353">
        <f t="shared" si="4"/>
        <v>58986.920228053103</v>
      </c>
      <c r="N54" s="353">
        <f t="shared" si="4"/>
        <v>60461.593233754422</v>
      </c>
      <c r="O54" s="353">
        <f t="shared" si="4"/>
        <v>61973.133064598274</v>
      </c>
      <c r="P54" s="354">
        <f t="shared" si="4"/>
        <v>63522.461391213234</v>
      </c>
      <c r="Q54" s="50"/>
      <c r="R54" s="50"/>
      <c r="S54" s="50"/>
      <c r="T54" s="50"/>
      <c r="U54" s="50"/>
      <c r="V54" s="50"/>
      <c r="W54" s="50"/>
      <c r="X54" s="50"/>
      <c r="Y54" s="50"/>
      <c r="Z54" s="50"/>
    </row>
    <row r="55" spans="1:26" ht="15.75" customHeight="1" x14ac:dyDescent="0.35">
      <c r="A55" s="50"/>
      <c r="B55" s="219" t="s">
        <v>421</v>
      </c>
      <c r="C55" s="355" t="s">
        <v>138</v>
      </c>
      <c r="D55" s="221">
        <f t="array" ref="D55">NPV(D40,D54:P54)</f>
        <v>495739.0292456724</v>
      </c>
      <c r="E55" s="356"/>
      <c r="F55" s="356"/>
      <c r="G55" s="357"/>
      <c r="H55" s="357"/>
      <c r="I55" s="357"/>
      <c r="J55" s="357"/>
      <c r="K55" s="357"/>
      <c r="L55" s="357"/>
      <c r="M55" s="357"/>
      <c r="N55" s="357"/>
      <c r="O55" s="357"/>
      <c r="P55" s="358"/>
      <c r="Q55" s="50"/>
      <c r="R55" s="50"/>
      <c r="S55" s="50"/>
      <c r="T55" s="50"/>
      <c r="U55" s="50"/>
      <c r="V55" s="50"/>
      <c r="W55" s="50"/>
      <c r="X55" s="50"/>
      <c r="Y55" s="50"/>
      <c r="Z55" s="50"/>
    </row>
    <row r="56" spans="1:26" ht="15.75" customHeight="1" x14ac:dyDescent="0.35">
      <c r="A56" s="50"/>
      <c r="B56" s="190"/>
      <c r="C56" s="50"/>
      <c r="D56" s="125"/>
      <c r="E56" s="125"/>
      <c r="F56" s="125"/>
      <c r="G56" s="126"/>
      <c r="H56" s="126"/>
      <c r="I56" s="126"/>
      <c r="J56" s="126"/>
      <c r="K56" s="126"/>
      <c r="L56" s="126"/>
      <c r="M56" s="126"/>
      <c r="N56" s="126"/>
      <c r="O56" s="126"/>
      <c r="P56" s="126"/>
      <c r="Q56" s="50"/>
      <c r="R56" s="50"/>
      <c r="S56" s="50"/>
      <c r="T56" s="50"/>
      <c r="U56" s="50"/>
      <c r="V56" s="50"/>
      <c r="W56" s="50"/>
      <c r="X56" s="50"/>
      <c r="Y56" s="50"/>
      <c r="Z56" s="50"/>
    </row>
    <row r="57" spans="1:26" ht="15.75" customHeight="1" x14ac:dyDescent="0.35">
      <c r="A57" s="50"/>
      <c r="B57" s="190"/>
      <c r="C57" s="50"/>
      <c r="D57" s="125"/>
      <c r="E57" s="125"/>
      <c r="F57" s="125"/>
      <c r="G57" s="126"/>
      <c r="H57" s="126"/>
      <c r="I57" s="126"/>
      <c r="J57" s="126"/>
      <c r="K57" s="126"/>
      <c r="L57" s="126"/>
      <c r="M57" s="126"/>
      <c r="N57" s="126"/>
      <c r="O57" s="126"/>
      <c r="P57" s="126"/>
      <c r="Q57" s="50"/>
      <c r="R57" s="50"/>
      <c r="S57" s="50"/>
      <c r="T57" s="50"/>
      <c r="U57" s="50"/>
      <c r="V57" s="50"/>
      <c r="W57" s="50"/>
      <c r="X57" s="50"/>
      <c r="Y57" s="50"/>
      <c r="Z57" s="50"/>
    </row>
    <row r="58" spans="1:26" ht="15.75" customHeight="1" x14ac:dyDescent="0.35">
      <c r="A58" s="50"/>
      <c r="B58" s="190"/>
      <c r="C58" s="50"/>
      <c r="D58" s="125"/>
      <c r="E58" s="125"/>
      <c r="F58" s="125"/>
      <c r="G58" s="126"/>
      <c r="H58" s="126"/>
      <c r="I58" s="126"/>
      <c r="J58" s="126"/>
      <c r="K58" s="126"/>
      <c r="L58" s="126"/>
      <c r="M58" s="126"/>
      <c r="N58" s="126"/>
      <c r="O58" s="126"/>
      <c r="P58" s="126"/>
      <c r="Q58" s="50"/>
      <c r="R58" s="50"/>
      <c r="S58" s="50"/>
      <c r="T58" s="50"/>
      <c r="U58" s="50"/>
      <c r="V58" s="50"/>
      <c r="W58" s="50"/>
      <c r="X58" s="50"/>
      <c r="Y58" s="50"/>
      <c r="Z58" s="50"/>
    </row>
    <row r="59" spans="1:26" ht="15.75" customHeight="1" x14ac:dyDescent="0.35">
      <c r="A59" s="50"/>
      <c r="B59" s="190"/>
      <c r="C59" s="50"/>
      <c r="D59" s="125"/>
      <c r="E59" s="125"/>
      <c r="F59" s="125"/>
      <c r="G59" s="126"/>
      <c r="H59" s="126"/>
      <c r="I59" s="126"/>
      <c r="J59" s="126"/>
      <c r="K59" s="126"/>
      <c r="L59" s="126"/>
      <c r="M59" s="126"/>
      <c r="N59" s="126"/>
      <c r="O59" s="126"/>
      <c r="P59" s="126"/>
      <c r="Q59" s="50"/>
      <c r="R59" s="50"/>
      <c r="S59" s="50"/>
      <c r="T59" s="50"/>
      <c r="U59" s="50"/>
      <c r="V59" s="50"/>
      <c r="W59" s="50"/>
      <c r="X59" s="50"/>
      <c r="Y59" s="50"/>
      <c r="Z59" s="50"/>
    </row>
    <row r="60" spans="1:26" ht="15.75" customHeight="1" x14ac:dyDescent="0.35">
      <c r="A60" s="50"/>
      <c r="B60" s="190"/>
      <c r="C60" s="50"/>
      <c r="D60" s="125"/>
      <c r="E60" s="125"/>
      <c r="F60" s="125"/>
      <c r="G60" s="126"/>
      <c r="H60" s="126"/>
      <c r="I60" s="126"/>
      <c r="J60" s="126"/>
      <c r="K60" s="126"/>
      <c r="L60" s="126"/>
      <c r="M60" s="126"/>
      <c r="N60" s="126"/>
      <c r="O60" s="126"/>
      <c r="P60" s="126"/>
      <c r="Q60" s="50"/>
      <c r="R60" s="50"/>
      <c r="S60" s="50"/>
      <c r="T60" s="50"/>
      <c r="U60" s="50"/>
      <c r="V60" s="50"/>
      <c r="W60" s="50"/>
      <c r="X60" s="50"/>
      <c r="Y60" s="50"/>
      <c r="Z60" s="50"/>
    </row>
    <row r="61" spans="1:26" ht="15.75" customHeight="1" x14ac:dyDescent="0.35">
      <c r="A61" s="50"/>
      <c r="B61" s="359"/>
      <c r="C61" s="65"/>
      <c r="D61" s="118"/>
      <c r="E61" s="118"/>
      <c r="F61" s="118"/>
      <c r="G61" s="118"/>
      <c r="H61" s="118"/>
      <c r="I61" s="118"/>
      <c r="J61" s="118"/>
      <c r="K61" s="118"/>
      <c r="L61" s="118"/>
      <c r="M61" s="118"/>
      <c r="N61" s="118"/>
      <c r="O61" s="118"/>
      <c r="P61" s="118"/>
      <c r="Q61" s="50"/>
      <c r="R61" s="50"/>
      <c r="S61" s="50"/>
      <c r="T61" s="50"/>
      <c r="U61" s="50"/>
      <c r="V61" s="50"/>
      <c r="W61" s="50"/>
      <c r="X61" s="50"/>
      <c r="Y61" s="50"/>
      <c r="Z61" s="50"/>
    </row>
    <row r="62" spans="1:26" ht="15.75" customHeight="1" x14ac:dyDescent="0.35">
      <c r="A62" s="50"/>
      <c r="B62" s="99"/>
      <c r="C62" s="65"/>
      <c r="D62" s="123"/>
      <c r="E62" s="123"/>
      <c r="F62" s="123"/>
      <c r="G62" s="50"/>
      <c r="H62" s="50"/>
      <c r="I62" s="50"/>
      <c r="J62" s="50"/>
      <c r="K62" s="50"/>
      <c r="L62" s="50"/>
      <c r="M62" s="50"/>
      <c r="N62" s="50"/>
      <c r="O62" s="50"/>
      <c r="P62" s="50"/>
      <c r="Q62" s="50"/>
      <c r="R62" s="50"/>
      <c r="S62" s="50"/>
      <c r="T62" s="50"/>
      <c r="U62" s="50"/>
      <c r="V62" s="50"/>
      <c r="W62" s="50"/>
      <c r="X62" s="50"/>
      <c r="Y62" s="50"/>
      <c r="Z62" s="50"/>
    </row>
    <row r="63" spans="1:26" ht="15.75" customHeight="1" x14ac:dyDescent="0.35">
      <c r="A63" s="50"/>
      <c r="B63" s="190"/>
      <c r="C63" s="65"/>
      <c r="D63" s="125"/>
      <c r="E63" s="125"/>
      <c r="F63" s="125"/>
      <c r="G63" s="126"/>
      <c r="H63" s="126"/>
      <c r="I63" s="126"/>
      <c r="J63" s="126"/>
      <c r="K63" s="126"/>
      <c r="L63" s="126"/>
      <c r="M63" s="126"/>
      <c r="N63" s="126"/>
      <c r="O63" s="126"/>
      <c r="P63" s="126"/>
      <c r="Q63" s="50"/>
      <c r="R63" s="50"/>
      <c r="S63" s="50"/>
      <c r="T63" s="50"/>
      <c r="U63" s="50"/>
      <c r="V63" s="50"/>
      <c r="W63" s="50"/>
      <c r="X63" s="50"/>
      <c r="Y63" s="50"/>
      <c r="Z63" s="50"/>
    </row>
    <row r="64" spans="1:26" ht="15.75" customHeight="1" x14ac:dyDescent="0.35">
      <c r="A64" s="50"/>
      <c r="B64" s="190"/>
      <c r="C64" s="65"/>
      <c r="D64" s="125"/>
      <c r="E64" s="125"/>
      <c r="F64" s="125"/>
      <c r="G64" s="126"/>
      <c r="H64" s="126"/>
      <c r="I64" s="126"/>
      <c r="J64" s="126"/>
      <c r="K64" s="126"/>
      <c r="L64" s="126"/>
      <c r="M64" s="126"/>
      <c r="N64" s="126"/>
      <c r="O64" s="126"/>
      <c r="P64" s="126"/>
      <c r="Q64" s="50"/>
      <c r="R64" s="50"/>
      <c r="S64" s="50"/>
      <c r="T64" s="50"/>
      <c r="U64" s="50"/>
      <c r="V64" s="50"/>
      <c r="W64" s="50"/>
      <c r="X64" s="50"/>
      <c r="Y64" s="50"/>
      <c r="Z64" s="50"/>
    </row>
    <row r="65" spans="1:26" ht="15.75" customHeight="1" x14ac:dyDescent="0.35">
      <c r="A65" s="50"/>
      <c r="B65" s="190"/>
      <c r="C65" s="65"/>
      <c r="D65" s="125"/>
      <c r="E65" s="125"/>
      <c r="F65" s="125"/>
      <c r="G65" s="126"/>
      <c r="H65" s="126"/>
      <c r="I65" s="126"/>
      <c r="J65" s="126"/>
      <c r="K65" s="126"/>
      <c r="L65" s="126"/>
      <c r="M65" s="126"/>
      <c r="N65" s="126"/>
      <c r="O65" s="126"/>
      <c r="P65" s="126"/>
      <c r="Q65" s="50"/>
      <c r="R65" s="50"/>
      <c r="S65" s="50"/>
      <c r="T65" s="50"/>
      <c r="U65" s="50"/>
      <c r="V65" s="50"/>
      <c r="W65" s="50"/>
      <c r="X65" s="50"/>
      <c r="Y65" s="50"/>
      <c r="Z65" s="50"/>
    </row>
    <row r="66" spans="1:26" ht="15.75" customHeight="1" x14ac:dyDescent="0.35">
      <c r="A66" s="50"/>
      <c r="B66" s="190"/>
      <c r="C66" s="65"/>
      <c r="D66" s="125"/>
      <c r="E66" s="125"/>
      <c r="F66" s="125"/>
      <c r="G66" s="126"/>
      <c r="H66" s="126"/>
      <c r="I66" s="126"/>
      <c r="J66" s="126"/>
      <c r="K66" s="126"/>
      <c r="L66" s="126"/>
      <c r="M66" s="126"/>
      <c r="N66" s="126"/>
      <c r="O66" s="126"/>
      <c r="P66" s="126"/>
      <c r="Q66" s="50"/>
      <c r="R66" s="50"/>
      <c r="S66" s="50"/>
      <c r="T66" s="50"/>
      <c r="U66" s="50"/>
      <c r="V66" s="50"/>
      <c r="W66" s="50"/>
      <c r="X66" s="50"/>
      <c r="Y66" s="50"/>
      <c r="Z66" s="50"/>
    </row>
    <row r="67" spans="1:26" ht="15.75" customHeight="1" x14ac:dyDescent="0.35">
      <c r="A67" s="50"/>
      <c r="B67" s="190"/>
      <c r="C67" s="65"/>
      <c r="D67" s="125"/>
      <c r="E67" s="125"/>
      <c r="F67" s="125"/>
      <c r="G67" s="126"/>
      <c r="H67" s="126"/>
      <c r="I67" s="126"/>
      <c r="J67" s="126"/>
      <c r="K67" s="126"/>
      <c r="L67" s="126"/>
      <c r="M67" s="126"/>
      <c r="N67" s="126"/>
      <c r="O67" s="126"/>
      <c r="P67" s="126"/>
      <c r="Q67" s="50"/>
      <c r="R67" s="50"/>
      <c r="S67" s="50"/>
      <c r="T67" s="50"/>
      <c r="U67" s="50"/>
      <c r="V67" s="50"/>
      <c r="W67" s="50"/>
      <c r="X67" s="50"/>
      <c r="Y67" s="50"/>
      <c r="Z67" s="50"/>
    </row>
    <row r="68" spans="1:26" ht="15.75" customHeight="1" x14ac:dyDescent="0.35">
      <c r="A68" s="50"/>
      <c r="B68" s="190"/>
      <c r="C68" s="65"/>
      <c r="D68" s="125"/>
      <c r="E68" s="125"/>
      <c r="F68" s="125"/>
      <c r="G68" s="126"/>
      <c r="H68" s="126"/>
      <c r="I68" s="126"/>
      <c r="J68" s="126"/>
      <c r="K68" s="126"/>
      <c r="L68" s="126"/>
      <c r="M68" s="126"/>
      <c r="N68" s="126"/>
      <c r="O68" s="126"/>
      <c r="P68" s="126"/>
      <c r="Q68" s="50"/>
      <c r="R68" s="50"/>
      <c r="S68" s="50"/>
      <c r="T68" s="50"/>
      <c r="U68" s="50"/>
      <c r="V68" s="50"/>
      <c r="W68" s="50"/>
      <c r="X68" s="50"/>
      <c r="Y68" s="50"/>
      <c r="Z68" s="50"/>
    </row>
    <row r="69" spans="1:26" ht="15.75" customHeight="1" x14ac:dyDescent="0.35">
      <c r="A69" s="50"/>
      <c r="B69" s="190"/>
      <c r="C69" s="65"/>
      <c r="D69" s="125"/>
      <c r="E69" s="125"/>
      <c r="F69" s="125"/>
      <c r="G69" s="126"/>
      <c r="H69" s="126"/>
      <c r="I69" s="126"/>
      <c r="J69" s="126"/>
      <c r="K69" s="126"/>
      <c r="L69" s="126"/>
      <c r="M69" s="126"/>
      <c r="N69" s="126"/>
      <c r="O69" s="126"/>
      <c r="P69" s="126"/>
      <c r="Q69" s="50"/>
      <c r="R69" s="50"/>
      <c r="S69" s="50"/>
      <c r="T69" s="50"/>
      <c r="U69" s="50"/>
      <c r="V69" s="50"/>
      <c r="W69" s="50"/>
      <c r="X69" s="50"/>
      <c r="Y69" s="50"/>
      <c r="Z69" s="50"/>
    </row>
    <row r="70" spans="1:26" ht="15.75" customHeight="1" x14ac:dyDescent="0.35">
      <c r="A70" s="50"/>
      <c r="B70" s="99"/>
      <c r="C70" s="54"/>
      <c r="D70" s="128"/>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x14ac:dyDescent="0.35">
      <c r="A71" s="50"/>
      <c r="B71" s="190"/>
      <c r="C71" s="54"/>
      <c r="D71" s="126"/>
      <c r="E71" s="126"/>
      <c r="F71" s="126"/>
      <c r="G71" s="126"/>
      <c r="H71" s="126"/>
      <c r="I71" s="126"/>
      <c r="J71" s="126"/>
      <c r="K71" s="126"/>
      <c r="L71" s="126"/>
      <c r="M71" s="126"/>
      <c r="N71" s="126"/>
      <c r="O71" s="126"/>
      <c r="P71" s="126"/>
      <c r="Q71" s="50"/>
      <c r="R71" s="50"/>
      <c r="S71" s="50"/>
      <c r="T71" s="50"/>
      <c r="U71" s="50"/>
      <c r="V71" s="50"/>
      <c r="W71" s="50"/>
      <c r="X71" s="50"/>
      <c r="Y71" s="50"/>
      <c r="Z71" s="50"/>
    </row>
    <row r="72" spans="1:26" ht="15.75" customHeight="1" x14ac:dyDescent="0.35">
      <c r="A72" s="50"/>
      <c r="B72" s="190"/>
      <c r="C72" s="50"/>
      <c r="D72" s="126"/>
      <c r="E72" s="126"/>
      <c r="F72" s="126"/>
      <c r="G72" s="126"/>
      <c r="H72" s="126"/>
      <c r="I72" s="126"/>
      <c r="J72" s="126"/>
      <c r="K72" s="126"/>
      <c r="L72" s="126"/>
      <c r="M72" s="126"/>
      <c r="N72" s="126"/>
      <c r="O72" s="126"/>
      <c r="P72" s="126"/>
      <c r="Q72" s="50"/>
      <c r="R72" s="50"/>
      <c r="S72" s="50"/>
      <c r="T72" s="50"/>
      <c r="U72" s="50"/>
      <c r="V72" s="50"/>
      <c r="W72" s="50"/>
      <c r="X72" s="50"/>
      <c r="Y72" s="50"/>
      <c r="Z72" s="50"/>
    </row>
    <row r="73" spans="1:26" ht="15.75" customHeight="1" x14ac:dyDescent="0.35">
      <c r="A73" s="50"/>
      <c r="B73" s="190"/>
      <c r="C73" s="47"/>
      <c r="D73" s="126"/>
      <c r="E73" s="126"/>
      <c r="F73" s="126"/>
      <c r="G73" s="126"/>
      <c r="H73" s="126"/>
      <c r="I73" s="126"/>
      <c r="J73" s="126"/>
      <c r="K73" s="126"/>
      <c r="L73" s="126"/>
      <c r="M73" s="126"/>
      <c r="N73" s="126"/>
      <c r="O73" s="126"/>
      <c r="P73" s="126"/>
      <c r="Q73" s="50"/>
      <c r="R73" s="50"/>
      <c r="S73" s="50"/>
      <c r="T73" s="50"/>
      <c r="U73" s="50"/>
      <c r="V73" s="50"/>
      <c r="W73" s="50"/>
      <c r="X73" s="50"/>
      <c r="Y73" s="50"/>
      <c r="Z73" s="50"/>
    </row>
    <row r="74" spans="1:26" ht="15.75" customHeight="1" x14ac:dyDescent="0.35">
      <c r="A74" s="50"/>
      <c r="B74" s="190"/>
      <c r="C74" s="47"/>
      <c r="D74" s="126"/>
      <c r="E74" s="126"/>
      <c r="F74" s="126"/>
      <c r="G74" s="126"/>
      <c r="H74" s="126"/>
      <c r="I74" s="126"/>
      <c r="J74" s="126"/>
      <c r="K74" s="126"/>
      <c r="L74" s="126"/>
      <c r="M74" s="126"/>
      <c r="N74" s="126"/>
      <c r="O74" s="126"/>
      <c r="P74" s="126"/>
      <c r="Q74" s="50"/>
      <c r="R74" s="50"/>
      <c r="S74" s="50"/>
      <c r="T74" s="50"/>
      <c r="U74" s="50"/>
      <c r="V74" s="50"/>
      <c r="W74" s="50"/>
      <c r="X74" s="50"/>
      <c r="Y74" s="50"/>
      <c r="Z74" s="50"/>
    </row>
    <row r="75" spans="1:26" ht="15.75" customHeight="1" x14ac:dyDescent="0.35">
      <c r="A75" s="50"/>
      <c r="B75" s="190"/>
      <c r="C75" s="47"/>
      <c r="D75" s="126"/>
      <c r="E75" s="126"/>
      <c r="F75" s="126"/>
      <c r="G75" s="126"/>
      <c r="H75" s="126"/>
      <c r="I75" s="126"/>
      <c r="J75" s="126"/>
      <c r="K75" s="126"/>
      <c r="L75" s="126"/>
      <c r="M75" s="126"/>
      <c r="N75" s="126"/>
      <c r="O75" s="126"/>
      <c r="P75" s="126"/>
      <c r="Q75" s="50"/>
      <c r="R75" s="50"/>
      <c r="S75" s="50"/>
      <c r="T75" s="50"/>
      <c r="U75" s="50"/>
      <c r="V75" s="50"/>
      <c r="W75" s="50"/>
      <c r="X75" s="50"/>
      <c r="Y75" s="50"/>
      <c r="Z75" s="50"/>
    </row>
    <row r="76" spans="1:26" ht="15.75" customHeight="1" x14ac:dyDescent="0.35">
      <c r="A76" s="50"/>
      <c r="B76" s="190"/>
      <c r="C76" s="47"/>
      <c r="D76" s="126"/>
      <c r="E76" s="126"/>
      <c r="F76" s="126"/>
      <c r="G76" s="126"/>
      <c r="H76" s="126"/>
      <c r="I76" s="126"/>
      <c r="J76" s="126"/>
      <c r="K76" s="126"/>
      <c r="L76" s="126"/>
      <c r="M76" s="126"/>
      <c r="N76" s="126"/>
      <c r="O76" s="126"/>
      <c r="P76" s="126"/>
      <c r="Q76" s="50"/>
      <c r="R76" s="50"/>
      <c r="S76" s="50"/>
      <c r="T76" s="50"/>
      <c r="U76" s="50"/>
      <c r="V76" s="50"/>
      <c r="W76" s="50"/>
      <c r="X76" s="50"/>
      <c r="Y76" s="50"/>
      <c r="Z76" s="50"/>
    </row>
    <row r="77" spans="1:26" ht="15.75" customHeight="1" x14ac:dyDescent="0.35">
      <c r="A77" s="50"/>
      <c r="B77" s="190"/>
      <c r="C77" s="47"/>
      <c r="D77" s="126"/>
      <c r="E77" s="126"/>
      <c r="F77" s="126"/>
      <c r="G77" s="126"/>
      <c r="H77" s="126"/>
      <c r="I77" s="126"/>
      <c r="J77" s="126"/>
      <c r="K77" s="126"/>
      <c r="L77" s="126"/>
      <c r="M77" s="126"/>
      <c r="N77" s="126"/>
      <c r="O77" s="126"/>
      <c r="P77" s="126"/>
      <c r="Q77" s="50"/>
      <c r="R77" s="50"/>
      <c r="S77" s="50"/>
      <c r="T77" s="50"/>
      <c r="U77" s="50"/>
      <c r="V77" s="50"/>
      <c r="W77" s="50"/>
      <c r="X77" s="50"/>
      <c r="Y77" s="50"/>
      <c r="Z77" s="50"/>
    </row>
    <row r="78" spans="1:26" ht="15.75" customHeight="1" x14ac:dyDescent="0.35">
      <c r="A78" s="50"/>
      <c r="B78" s="338"/>
      <c r="C78" s="47"/>
      <c r="D78" s="120"/>
      <c r="E78" s="120"/>
      <c r="F78" s="120"/>
      <c r="G78" s="120"/>
      <c r="H78" s="120"/>
      <c r="I78" s="120"/>
      <c r="J78" s="120"/>
      <c r="K78" s="120"/>
      <c r="L78" s="120"/>
      <c r="M78" s="120"/>
      <c r="N78" s="50"/>
      <c r="O78" s="50"/>
      <c r="P78" s="50"/>
      <c r="Q78" s="50"/>
      <c r="R78" s="50"/>
      <c r="S78" s="50"/>
      <c r="T78" s="50"/>
      <c r="U78" s="50"/>
      <c r="V78" s="50"/>
      <c r="W78" s="50"/>
      <c r="X78" s="50"/>
      <c r="Y78" s="50"/>
      <c r="Z78" s="50"/>
    </row>
    <row r="79" spans="1:26" ht="15.75" customHeight="1" x14ac:dyDescent="0.35">
      <c r="A79" s="50"/>
      <c r="B79" s="190"/>
      <c r="C79" s="47"/>
      <c r="D79" s="64"/>
      <c r="E79" s="64"/>
      <c r="F79" s="64"/>
      <c r="G79" s="64"/>
      <c r="H79" s="64"/>
      <c r="I79" s="64"/>
      <c r="J79" s="64"/>
      <c r="K79" s="64"/>
      <c r="L79" s="64"/>
      <c r="M79" s="64"/>
      <c r="N79" s="64"/>
      <c r="O79" s="64"/>
      <c r="P79" s="64"/>
      <c r="Q79" s="50"/>
      <c r="R79" s="50"/>
      <c r="S79" s="50"/>
      <c r="T79" s="50"/>
      <c r="U79" s="50"/>
      <c r="V79" s="50"/>
      <c r="W79" s="50"/>
      <c r="X79" s="50"/>
      <c r="Y79" s="50"/>
      <c r="Z79" s="50"/>
    </row>
    <row r="80" spans="1:26" ht="15.75" customHeight="1" x14ac:dyDescent="0.35">
      <c r="A80" s="50"/>
      <c r="B80" s="190"/>
      <c r="C80" s="47"/>
      <c r="D80" s="64"/>
      <c r="E80" s="64"/>
      <c r="F80" s="64"/>
      <c r="G80" s="64"/>
      <c r="H80" s="64"/>
      <c r="I80" s="64"/>
      <c r="J80" s="64"/>
      <c r="K80" s="64"/>
      <c r="L80" s="64"/>
      <c r="M80" s="64"/>
      <c r="N80" s="64"/>
      <c r="O80" s="64"/>
      <c r="P80" s="64"/>
      <c r="Q80" s="50"/>
      <c r="R80" s="50"/>
      <c r="S80" s="50"/>
      <c r="T80" s="50"/>
      <c r="U80" s="50"/>
      <c r="V80" s="50"/>
      <c r="W80" s="50"/>
      <c r="X80" s="50"/>
      <c r="Y80" s="50"/>
      <c r="Z80" s="50"/>
    </row>
    <row r="81" spans="1:26" ht="15.75" customHeight="1" x14ac:dyDescent="0.35">
      <c r="A81" s="50"/>
      <c r="B81" s="190"/>
      <c r="C81" s="47"/>
      <c r="D81" s="64"/>
      <c r="E81" s="64"/>
      <c r="F81" s="64"/>
      <c r="G81" s="64"/>
      <c r="H81" s="64"/>
      <c r="I81" s="64"/>
      <c r="J81" s="64"/>
      <c r="K81" s="64"/>
      <c r="L81" s="64"/>
      <c r="M81" s="64"/>
      <c r="N81" s="64"/>
      <c r="O81" s="64"/>
      <c r="P81" s="64"/>
      <c r="Q81" s="50"/>
      <c r="R81" s="50"/>
      <c r="S81" s="50"/>
      <c r="T81" s="50"/>
      <c r="U81" s="50"/>
      <c r="V81" s="50"/>
      <c r="W81" s="50"/>
      <c r="X81" s="50"/>
      <c r="Y81" s="50"/>
      <c r="Z81" s="50"/>
    </row>
    <row r="82" spans="1:26" ht="15.75" customHeight="1" x14ac:dyDescent="0.35">
      <c r="A82" s="50"/>
      <c r="B82" s="190"/>
      <c r="C82" s="47"/>
      <c r="D82" s="64"/>
      <c r="E82" s="64"/>
      <c r="F82" s="64"/>
      <c r="G82" s="64"/>
      <c r="H82" s="64"/>
      <c r="I82" s="64"/>
      <c r="J82" s="64"/>
      <c r="K82" s="64"/>
      <c r="L82" s="64"/>
      <c r="M82" s="64"/>
      <c r="N82" s="64"/>
      <c r="O82" s="64"/>
      <c r="P82" s="64"/>
      <c r="Q82" s="50"/>
      <c r="R82" s="50"/>
      <c r="S82" s="50"/>
      <c r="T82" s="50"/>
      <c r="U82" s="50"/>
      <c r="V82" s="50"/>
      <c r="W82" s="50"/>
      <c r="X82" s="50"/>
      <c r="Y82" s="50"/>
      <c r="Z82" s="50"/>
    </row>
    <row r="83" spans="1:26" ht="15.75" customHeight="1" x14ac:dyDescent="0.35">
      <c r="A83" s="50"/>
      <c r="B83" s="190"/>
      <c r="C83" s="47"/>
      <c r="D83" s="64"/>
      <c r="E83" s="64"/>
      <c r="F83" s="64"/>
      <c r="G83" s="64"/>
      <c r="H83" s="64"/>
      <c r="I83" s="64"/>
      <c r="J83" s="64"/>
      <c r="K83" s="64"/>
      <c r="L83" s="64"/>
      <c r="M83" s="64"/>
      <c r="N83" s="64"/>
      <c r="O83" s="64"/>
      <c r="P83" s="64"/>
      <c r="Q83" s="50"/>
      <c r="R83" s="50"/>
      <c r="S83" s="50"/>
      <c r="T83" s="50"/>
      <c r="U83" s="50"/>
      <c r="V83" s="50"/>
      <c r="W83" s="50"/>
      <c r="X83" s="50"/>
      <c r="Y83" s="50"/>
      <c r="Z83" s="50"/>
    </row>
    <row r="84" spans="1:26" ht="15.75" customHeight="1" x14ac:dyDescent="0.35">
      <c r="A84" s="50"/>
      <c r="B84" s="190"/>
      <c r="C84" s="47"/>
      <c r="D84" s="64"/>
      <c r="E84" s="64"/>
      <c r="F84" s="64"/>
      <c r="G84" s="64"/>
      <c r="H84" s="64"/>
      <c r="I84" s="64"/>
      <c r="J84" s="64"/>
      <c r="K84" s="64"/>
      <c r="L84" s="64"/>
      <c r="M84" s="64"/>
      <c r="N84" s="64"/>
      <c r="O84" s="64"/>
      <c r="P84" s="64"/>
      <c r="Q84" s="50"/>
      <c r="R84" s="50"/>
      <c r="S84" s="50"/>
      <c r="T84" s="50"/>
      <c r="U84" s="50"/>
      <c r="V84" s="50"/>
      <c r="W84" s="50"/>
      <c r="X84" s="50"/>
      <c r="Y84" s="50"/>
      <c r="Z84" s="50"/>
    </row>
    <row r="85" spans="1:26" ht="15.75" customHeight="1" x14ac:dyDescent="0.35">
      <c r="A85" s="50"/>
      <c r="B85" s="190"/>
      <c r="C85" s="47"/>
      <c r="D85" s="64"/>
      <c r="E85" s="64"/>
      <c r="F85" s="64"/>
      <c r="G85" s="64"/>
      <c r="H85" s="64"/>
      <c r="I85" s="64"/>
      <c r="J85" s="64"/>
      <c r="K85" s="64"/>
      <c r="L85" s="64"/>
      <c r="M85" s="64"/>
      <c r="N85" s="64"/>
      <c r="O85" s="64"/>
      <c r="P85" s="64"/>
      <c r="Q85" s="50"/>
      <c r="R85" s="50"/>
      <c r="S85" s="50"/>
      <c r="T85" s="50"/>
      <c r="U85" s="50"/>
      <c r="V85" s="50"/>
      <c r="W85" s="50"/>
      <c r="X85" s="50"/>
      <c r="Y85" s="50"/>
      <c r="Z85" s="50"/>
    </row>
    <row r="86" spans="1:26" ht="15.75" customHeight="1" x14ac:dyDescent="0.35">
      <c r="A86" s="50"/>
      <c r="B86" s="359"/>
      <c r="C86" s="65"/>
      <c r="D86" s="129"/>
      <c r="E86" s="129"/>
      <c r="F86" s="129"/>
      <c r="G86" s="129"/>
      <c r="H86" s="129"/>
      <c r="I86" s="129"/>
      <c r="J86" s="129"/>
      <c r="K86" s="129"/>
      <c r="L86" s="129"/>
      <c r="M86" s="129"/>
      <c r="N86" s="129"/>
      <c r="O86" s="129"/>
      <c r="P86" s="129"/>
      <c r="Q86" s="50"/>
      <c r="R86" s="50"/>
      <c r="S86" s="50"/>
      <c r="T86" s="50"/>
      <c r="U86" s="50"/>
      <c r="V86" s="50"/>
      <c r="W86" s="50"/>
      <c r="X86" s="50"/>
      <c r="Y86" s="50"/>
      <c r="Z86" s="50"/>
    </row>
    <row r="87" spans="1:26" ht="15.75" customHeight="1" x14ac:dyDescent="0.35">
      <c r="A87" s="50"/>
      <c r="B87" s="50"/>
      <c r="C87" s="63"/>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35">
      <c r="A88" s="50"/>
      <c r="B88" s="50"/>
      <c r="C88" s="63"/>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35">
      <c r="A89" s="50"/>
      <c r="B89" s="50"/>
      <c r="C89" s="63"/>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35">
      <c r="A90" s="50"/>
      <c r="B90" s="50"/>
      <c r="C90" s="63"/>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35">
      <c r="A91" s="50"/>
      <c r="B91" s="50"/>
      <c r="C91" s="63"/>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35">
      <c r="A92" s="50"/>
      <c r="B92" s="50"/>
      <c r="C92" s="63"/>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35">
      <c r="A93" s="50"/>
      <c r="B93" s="50"/>
      <c r="C93" s="63"/>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35">
      <c r="A94" s="50"/>
      <c r="B94" s="50"/>
      <c r="C94" s="63"/>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35">
      <c r="A95" s="50"/>
      <c r="B95" s="50"/>
      <c r="C95" s="63"/>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35">
      <c r="A96" s="50"/>
      <c r="B96" s="50"/>
      <c r="C96" s="63"/>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35">
      <c r="A97" s="50"/>
      <c r="B97" s="50"/>
      <c r="C97" s="63"/>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35">
      <c r="A98" s="50"/>
      <c r="B98" s="50"/>
      <c r="C98" s="63"/>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35">
      <c r="A99" s="50"/>
      <c r="B99" s="50"/>
      <c r="C99" s="63"/>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35">
      <c r="A100" s="50"/>
      <c r="B100" s="50"/>
      <c r="C100" s="63"/>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35">
      <c r="A101" s="50"/>
      <c r="B101" s="50"/>
      <c r="C101" s="63"/>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35">
      <c r="A102" s="50"/>
      <c r="B102" s="50"/>
      <c r="C102" s="63"/>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35">
      <c r="A103" s="50"/>
      <c r="B103" s="50"/>
      <c r="C103" s="63"/>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35">
      <c r="A104" s="50"/>
      <c r="B104" s="50"/>
      <c r="C104" s="63"/>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35">
      <c r="A105" s="50"/>
      <c r="B105" s="50"/>
      <c r="C105" s="63"/>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35">
      <c r="A106" s="50"/>
      <c r="B106" s="50"/>
      <c r="C106" s="63"/>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35">
      <c r="A107" s="50"/>
      <c r="B107" s="50"/>
      <c r="C107" s="63"/>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35">
      <c r="A108" s="50"/>
      <c r="B108" s="50"/>
      <c r="C108" s="63"/>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35">
      <c r="A109" s="50"/>
      <c r="B109" s="50"/>
      <c r="C109" s="63"/>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35">
      <c r="A110" s="50"/>
      <c r="B110" s="50"/>
      <c r="C110" s="63"/>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35">
      <c r="A111" s="50"/>
      <c r="B111" s="50"/>
      <c r="C111" s="63"/>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35">
      <c r="A112" s="50"/>
      <c r="B112" s="50"/>
      <c r="C112" s="63"/>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35">
      <c r="A113" s="50"/>
      <c r="B113" s="50"/>
      <c r="C113" s="63"/>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50"/>
      <c r="C114" s="63"/>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63"/>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63"/>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63"/>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63"/>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63"/>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63"/>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63"/>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63"/>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63"/>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63"/>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63"/>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63"/>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63"/>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63"/>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63"/>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63"/>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63"/>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63"/>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63"/>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63"/>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63"/>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63"/>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63"/>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63"/>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63"/>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63"/>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63"/>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63"/>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63"/>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63"/>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63"/>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63"/>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63"/>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63"/>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63"/>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63"/>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63"/>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63"/>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63"/>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63"/>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63"/>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63"/>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63"/>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63"/>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63"/>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63"/>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63"/>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63"/>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63"/>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63"/>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63"/>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63"/>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63"/>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63"/>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63"/>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63"/>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63"/>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63"/>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63"/>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63"/>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63"/>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63"/>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63"/>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63"/>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63"/>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63"/>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63"/>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63"/>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63"/>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63"/>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63"/>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63"/>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63"/>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63"/>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63"/>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63"/>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63"/>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63"/>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63"/>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63"/>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63"/>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63"/>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63"/>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63"/>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63"/>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63"/>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63"/>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63"/>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63"/>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63"/>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63"/>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63"/>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63"/>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63"/>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63"/>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63"/>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63"/>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63"/>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63"/>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63"/>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63"/>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63"/>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63"/>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63"/>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63"/>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63"/>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63"/>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63"/>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63"/>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63"/>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63"/>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63"/>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63"/>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63"/>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63"/>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63"/>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63"/>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63"/>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63"/>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63"/>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63"/>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63"/>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63"/>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63"/>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63"/>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63"/>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63"/>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63"/>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63"/>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63"/>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63"/>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63"/>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2.75" customHeight="1" x14ac:dyDescent="0.35">
      <c r="A247" s="339"/>
      <c r="B247" s="339"/>
      <c r="C247" s="360"/>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row>
    <row r="248" spans="1:26" ht="12.75" customHeight="1" x14ac:dyDescent="0.35">
      <c r="A248" s="339"/>
      <c r="B248" s="339"/>
      <c r="C248" s="360"/>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row>
    <row r="249" spans="1:26" ht="12.75" customHeight="1" x14ac:dyDescent="0.35">
      <c r="A249" s="339"/>
      <c r="B249" s="339"/>
      <c r="C249" s="360"/>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row>
    <row r="250" spans="1:26" ht="12.75" customHeight="1" x14ac:dyDescent="0.35">
      <c r="A250" s="339"/>
      <c r="B250" s="339"/>
      <c r="C250" s="360"/>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row>
    <row r="251" spans="1:26" ht="12.75" customHeight="1" x14ac:dyDescent="0.35">
      <c r="A251" s="339"/>
      <c r="B251" s="339"/>
      <c r="C251" s="360"/>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row>
    <row r="252" spans="1:26" ht="12.75" customHeight="1" x14ac:dyDescent="0.35">
      <c r="A252" s="339"/>
      <c r="B252" s="339"/>
      <c r="C252" s="360"/>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row>
    <row r="253" spans="1:26" ht="12.75" customHeight="1" x14ac:dyDescent="0.35">
      <c r="A253" s="339"/>
      <c r="B253" s="339"/>
      <c r="C253" s="360"/>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row>
    <row r="254" spans="1:26" ht="12.75" customHeight="1" x14ac:dyDescent="0.35">
      <c r="A254" s="339"/>
      <c r="B254" s="339"/>
      <c r="C254" s="360"/>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row>
    <row r="255" spans="1:26" ht="15.75" customHeight="1" x14ac:dyDescent="0.35">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row>
    <row r="256" spans="1:26" ht="15.75" customHeight="1" x14ac:dyDescent="0.35">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row>
    <row r="257" spans="1:26" ht="15.75" customHeight="1" x14ac:dyDescent="0.35">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row>
    <row r="258" spans="1:26" ht="15.75" customHeight="1" x14ac:dyDescent="0.35">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row>
    <row r="259" spans="1:26" ht="15.75" customHeight="1" x14ac:dyDescent="0.35">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row>
    <row r="260" spans="1:26" ht="15.75" customHeight="1" x14ac:dyDescent="0.35">
      <c r="A260" s="339"/>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row>
    <row r="261" spans="1:26" ht="15.75" customHeight="1" x14ac:dyDescent="0.35">
      <c r="A261" s="339"/>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row>
    <row r="262" spans="1:26" ht="15.75" customHeight="1" x14ac:dyDescent="0.35">
      <c r="A262" s="339"/>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row>
    <row r="263" spans="1:26" ht="15.75" customHeight="1" x14ac:dyDescent="0.35">
      <c r="A263" s="339"/>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row>
    <row r="264" spans="1:26" ht="15.75" customHeight="1" x14ac:dyDescent="0.35">
      <c r="A264" s="339"/>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row>
    <row r="265" spans="1:26" ht="15.75" customHeight="1" x14ac:dyDescent="0.35">
      <c r="A265" s="339"/>
      <c r="B265" s="339"/>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row>
    <row r="266" spans="1:26" ht="15.75" customHeight="1" x14ac:dyDescent="0.35">
      <c r="A266" s="339"/>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row>
    <row r="267" spans="1:26" ht="15.75" customHeight="1" x14ac:dyDescent="0.35">
      <c r="A267" s="339"/>
      <c r="B267" s="339"/>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row>
    <row r="268" spans="1:26" ht="15.75" customHeight="1" x14ac:dyDescent="0.35">
      <c r="A268" s="339"/>
      <c r="B268" s="339"/>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row>
    <row r="269" spans="1:26" ht="15.75" customHeight="1" x14ac:dyDescent="0.35">
      <c r="A269" s="339"/>
      <c r="B269" s="339"/>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row>
    <row r="270" spans="1:26" ht="15.75" customHeight="1" x14ac:dyDescent="0.35">
      <c r="A270" s="339"/>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row>
    <row r="271" spans="1:26" ht="15.75" customHeight="1" x14ac:dyDescent="0.35">
      <c r="A271" s="339"/>
      <c r="B271" s="339"/>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row>
    <row r="272" spans="1:26" ht="15.75" customHeight="1" x14ac:dyDescent="0.35">
      <c r="A272" s="339"/>
      <c r="B272" s="339"/>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row>
    <row r="273" spans="1:26" ht="15.75" customHeight="1" x14ac:dyDescent="0.35">
      <c r="A273" s="339"/>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row>
    <row r="274" spans="1:26" ht="15.75" customHeight="1" x14ac:dyDescent="0.35">
      <c r="A274" s="339"/>
      <c r="B274" s="339"/>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row>
    <row r="275" spans="1:26" ht="15.75" customHeight="1" x14ac:dyDescent="0.35">
      <c r="A275" s="339"/>
      <c r="B275" s="339"/>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row>
    <row r="276" spans="1:26" ht="15.75" customHeight="1" x14ac:dyDescent="0.35">
      <c r="A276" s="339"/>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row>
    <row r="277" spans="1:26" ht="15.75" customHeight="1" x14ac:dyDescent="0.35">
      <c r="A277" s="339"/>
      <c r="B277" s="339"/>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row>
    <row r="278" spans="1:26" ht="15.75" customHeight="1" x14ac:dyDescent="0.35">
      <c r="A278" s="339"/>
      <c r="B278" s="339"/>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row>
    <row r="279" spans="1:26" ht="15.75" customHeight="1" x14ac:dyDescent="0.35">
      <c r="A279" s="339"/>
      <c r="B279" s="339"/>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row>
    <row r="280" spans="1:26" ht="15.75" customHeight="1" x14ac:dyDescent="0.35">
      <c r="A280" s="339"/>
      <c r="B280" s="339"/>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row>
    <row r="281" spans="1:26" ht="15.75" customHeight="1" x14ac:dyDescent="0.35">
      <c r="A281" s="339"/>
      <c r="B281" s="339"/>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row>
    <row r="282" spans="1:26" ht="15.75" customHeight="1" x14ac:dyDescent="0.35">
      <c r="A282" s="339"/>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row>
    <row r="283" spans="1:26" ht="15.75" customHeight="1" x14ac:dyDescent="0.35">
      <c r="A283" s="339"/>
      <c r="B283" s="339"/>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row>
    <row r="284" spans="1:26" ht="15.75" customHeight="1" x14ac:dyDescent="0.35">
      <c r="A284" s="339"/>
      <c r="B284" s="339"/>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row>
    <row r="285" spans="1:26" ht="15.75" customHeight="1" x14ac:dyDescent="0.35">
      <c r="A285" s="339"/>
      <c r="B285" s="339"/>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row>
    <row r="286" spans="1:26" ht="15.75" customHeight="1" x14ac:dyDescent="0.35">
      <c r="A286" s="339"/>
      <c r="B286" s="339"/>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row>
    <row r="287" spans="1:26" ht="15.75" customHeight="1" x14ac:dyDescent="0.35">
      <c r="A287" s="339"/>
      <c r="B287" s="339"/>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row>
    <row r="288" spans="1:26" ht="15.75" customHeight="1" x14ac:dyDescent="0.35">
      <c r="A288" s="339"/>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row>
    <row r="289" spans="1:26" ht="15.75" customHeight="1" x14ac:dyDescent="0.35">
      <c r="A289" s="339"/>
      <c r="B289" s="339"/>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row>
    <row r="290" spans="1:26" ht="15.75" customHeight="1" x14ac:dyDescent="0.35">
      <c r="A290" s="339"/>
      <c r="B290" s="339"/>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row>
    <row r="291" spans="1:26" ht="15.75" customHeight="1" x14ac:dyDescent="0.35">
      <c r="A291" s="339"/>
      <c r="B291" s="339"/>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row>
    <row r="292" spans="1:26" ht="15.75" customHeight="1" x14ac:dyDescent="0.35">
      <c r="A292" s="339"/>
      <c r="B292" s="339"/>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row>
    <row r="293" spans="1:26" ht="15.75" customHeight="1" x14ac:dyDescent="0.35">
      <c r="A293" s="339"/>
      <c r="B293" s="339"/>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row>
    <row r="294" spans="1:26" ht="15.75" customHeight="1" x14ac:dyDescent="0.35">
      <c r="A294" s="339"/>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row>
    <row r="295" spans="1:26" ht="15.75" customHeight="1" x14ac:dyDescent="0.35">
      <c r="A295" s="339"/>
      <c r="B295" s="339"/>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row>
    <row r="296" spans="1:26" ht="15.75" customHeight="1" x14ac:dyDescent="0.35">
      <c r="A296" s="339"/>
      <c r="B296" s="339"/>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row>
    <row r="297" spans="1:26" ht="15.75" customHeight="1" x14ac:dyDescent="0.35">
      <c r="A297" s="339"/>
      <c r="B297" s="339"/>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row>
    <row r="298" spans="1:26" ht="15.75" customHeight="1" x14ac:dyDescent="0.35">
      <c r="A298" s="339"/>
      <c r="B298" s="339"/>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row>
    <row r="299" spans="1:26" ht="15.75" customHeight="1" x14ac:dyDescent="0.35">
      <c r="A299" s="339"/>
      <c r="B299" s="339"/>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row>
    <row r="300" spans="1:26" ht="15.75" customHeight="1" x14ac:dyDescent="0.35">
      <c r="A300" s="339"/>
      <c r="B300" s="339"/>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row>
    <row r="301" spans="1:26" ht="15.75" customHeight="1" x14ac:dyDescent="0.35">
      <c r="A301" s="339"/>
      <c r="B301" s="339"/>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row>
    <row r="302" spans="1:26" ht="15.75" customHeight="1" x14ac:dyDescent="0.35">
      <c r="A302" s="339"/>
      <c r="B302" s="339"/>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row>
    <row r="303" spans="1:26" ht="15.75" customHeight="1" x14ac:dyDescent="0.35">
      <c r="A303" s="339"/>
      <c r="B303" s="339"/>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row>
    <row r="304" spans="1:26" ht="15.75" customHeight="1" x14ac:dyDescent="0.35">
      <c r="A304" s="339"/>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row>
    <row r="305" spans="1:26" ht="15.75" customHeight="1" x14ac:dyDescent="0.35">
      <c r="A305" s="339"/>
      <c r="B305" s="339"/>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row>
    <row r="306" spans="1:26" ht="15.75" customHeight="1" x14ac:dyDescent="0.35">
      <c r="A306" s="339"/>
      <c r="B306" s="339"/>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row>
    <row r="307" spans="1:26" ht="15.75" customHeight="1" x14ac:dyDescent="0.35">
      <c r="A307" s="339"/>
      <c r="B307" s="339"/>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row>
    <row r="308" spans="1:26" ht="15.75" customHeight="1" x14ac:dyDescent="0.35">
      <c r="A308" s="339"/>
      <c r="B308" s="339"/>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row>
    <row r="309" spans="1:26" ht="15.75" customHeight="1" x14ac:dyDescent="0.35">
      <c r="A309" s="339"/>
      <c r="B309" s="339"/>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row>
    <row r="310" spans="1:26" ht="15.75" customHeight="1" x14ac:dyDescent="0.35">
      <c r="A310" s="339"/>
      <c r="B310" s="339"/>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row>
    <row r="311" spans="1:26" ht="15.75" customHeight="1" x14ac:dyDescent="0.35">
      <c r="A311" s="339"/>
      <c r="B311" s="339"/>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row>
    <row r="312" spans="1:26" ht="15.75" customHeight="1" x14ac:dyDescent="0.35">
      <c r="A312" s="339"/>
      <c r="B312" s="339"/>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row>
    <row r="313" spans="1:26" ht="15.75" customHeight="1" x14ac:dyDescent="0.35">
      <c r="A313" s="339"/>
      <c r="B313" s="339"/>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row>
    <row r="314" spans="1:26" ht="15.75" customHeight="1" x14ac:dyDescent="0.35">
      <c r="A314" s="339"/>
      <c r="B314" s="339"/>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row>
    <row r="315" spans="1:26" ht="15.75" customHeight="1" x14ac:dyDescent="0.35">
      <c r="A315" s="339"/>
      <c r="B315" s="339"/>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row>
    <row r="316" spans="1:26" ht="15.75" customHeight="1" x14ac:dyDescent="0.35">
      <c r="A316" s="339"/>
      <c r="B316" s="339"/>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row>
    <row r="317" spans="1:26" ht="15.75" customHeight="1" x14ac:dyDescent="0.35">
      <c r="A317" s="339"/>
      <c r="B317" s="339"/>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row>
    <row r="318" spans="1:26" ht="15.75" customHeight="1" x14ac:dyDescent="0.35">
      <c r="A318" s="339"/>
      <c r="B318" s="339"/>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row>
    <row r="319" spans="1:26" ht="15.75" customHeight="1" x14ac:dyDescent="0.35">
      <c r="A319" s="339"/>
      <c r="B319" s="339"/>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row>
    <row r="320" spans="1:26" ht="15.75" customHeight="1" x14ac:dyDescent="0.35">
      <c r="A320" s="339"/>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row>
    <row r="321" spans="1:26" ht="15.75" customHeight="1" x14ac:dyDescent="0.35">
      <c r="A321" s="339"/>
      <c r="B321" s="339"/>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row>
    <row r="322" spans="1:26" ht="15.75" customHeight="1" x14ac:dyDescent="0.35">
      <c r="A322" s="339"/>
      <c r="B322" s="339"/>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row>
    <row r="323" spans="1:26" ht="15.75" customHeight="1" x14ac:dyDescent="0.35">
      <c r="A323" s="339"/>
      <c r="B323" s="339"/>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row>
    <row r="324" spans="1:26" ht="15.75" customHeight="1" x14ac:dyDescent="0.35">
      <c r="A324" s="339"/>
      <c r="B324" s="339"/>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row>
    <row r="325" spans="1:26" ht="15.75" customHeight="1" x14ac:dyDescent="0.35">
      <c r="A325" s="339"/>
      <c r="B325" s="339"/>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row>
    <row r="326" spans="1:26" ht="15.75" customHeight="1" x14ac:dyDescent="0.35">
      <c r="A326" s="339"/>
      <c r="B326" s="339"/>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row>
    <row r="327" spans="1:26" ht="15.75" customHeight="1" x14ac:dyDescent="0.35">
      <c r="A327" s="339"/>
      <c r="B327" s="339"/>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row>
    <row r="328" spans="1:26" ht="15.75" customHeight="1" x14ac:dyDescent="0.35">
      <c r="A328" s="339"/>
      <c r="B328" s="339"/>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row>
    <row r="329" spans="1:26" ht="15.75" customHeight="1" x14ac:dyDescent="0.35">
      <c r="A329" s="339"/>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row>
    <row r="330" spans="1:26" ht="15.75" customHeight="1" x14ac:dyDescent="0.35">
      <c r="A330" s="339"/>
      <c r="B330" s="339"/>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row>
    <row r="331" spans="1:26" ht="15.75" customHeight="1" x14ac:dyDescent="0.35">
      <c r="A331" s="339"/>
      <c r="B331" s="339"/>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row>
    <row r="332" spans="1:26" ht="15.75" customHeight="1" x14ac:dyDescent="0.35">
      <c r="A332" s="339"/>
      <c r="B332" s="339"/>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row>
    <row r="333" spans="1:26" ht="15.75" customHeight="1" x14ac:dyDescent="0.35">
      <c r="A333" s="339"/>
      <c r="B333" s="339"/>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row>
    <row r="334" spans="1:26" ht="15.75" customHeight="1" x14ac:dyDescent="0.35">
      <c r="A334" s="339"/>
      <c r="B334" s="339"/>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row>
    <row r="335" spans="1:26" ht="15.75" customHeight="1" x14ac:dyDescent="0.35">
      <c r="A335" s="339"/>
      <c r="B335" s="339"/>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row>
    <row r="336" spans="1:26" ht="15.75" customHeight="1" x14ac:dyDescent="0.35">
      <c r="A336" s="339"/>
      <c r="B336" s="339"/>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row>
    <row r="337" spans="1:26" ht="15.75" customHeight="1" x14ac:dyDescent="0.35">
      <c r="A337" s="339"/>
      <c r="B337" s="339"/>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row>
    <row r="338" spans="1:26" ht="15.75" customHeight="1" x14ac:dyDescent="0.35">
      <c r="A338" s="339"/>
      <c r="B338" s="339"/>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row>
    <row r="339" spans="1:26" ht="15.75" customHeight="1" x14ac:dyDescent="0.35">
      <c r="A339" s="339"/>
      <c r="B339" s="339"/>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row>
    <row r="340" spans="1:26" ht="15.75" customHeight="1" x14ac:dyDescent="0.35">
      <c r="A340" s="339"/>
      <c r="B340" s="339"/>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row>
    <row r="341" spans="1:26" ht="15.75" customHeight="1" x14ac:dyDescent="0.35">
      <c r="A341" s="339"/>
      <c r="B341" s="339"/>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row>
    <row r="342" spans="1:26" ht="15.75" customHeight="1" x14ac:dyDescent="0.35">
      <c r="A342" s="339"/>
      <c r="B342" s="339"/>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row>
    <row r="343" spans="1:26" ht="15.75" customHeight="1" x14ac:dyDescent="0.35">
      <c r="A343" s="339"/>
      <c r="B343" s="339"/>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row>
    <row r="344" spans="1:26" ht="15.75" customHeight="1" x14ac:dyDescent="0.35">
      <c r="A344" s="339"/>
      <c r="B344" s="339"/>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row>
    <row r="345" spans="1:26" ht="15.75" customHeight="1" x14ac:dyDescent="0.35">
      <c r="A345" s="339"/>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row>
    <row r="346" spans="1:26" ht="15.75" customHeight="1" x14ac:dyDescent="0.35">
      <c r="A346" s="339"/>
      <c r="B346" s="339"/>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row>
    <row r="347" spans="1:26" ht="15.75" customHeight="1" x14ac:dyDescent="0.35">
      <c r="A347" s="339"/>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row>
    <row r="348" spans="1:26" ht="15.75" customHeight="1" x14ac:dyDescent="0.35">
      <c r="A348" s="339"/>
      <c r="B348" s="339"/>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row>
    <row r="349" spans="1:26" ht="15.75" customHeight="1" x14ac:dyDescent="0.35">
      <c r="A349" s="339"/>
      <c r="B349" s="339"/>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row>
    <row r="350" spans="1:26" ht="15.75" customHeight="1" x14ac:dyDescent="0.35">
      <c r="A350" s="339"/>
      <c r="B350" s="339"/>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row>
    <row r="351" spans="1:26" ht="15.75" customHeight="1" x14ac:dyDescent="0.35">
      <c r="A351" s="339"/>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row>
    <row r="352" spans="1:26" ht="15.75" customHeight="1" x14ac:dyDescent="0.35">
      <c r="A352" s="339"/>
      <c r="B352" s="339"/>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row>
    <row r="353" spans="1:26" ht="15.75" customHeight="1" x14ac:dyDescent="0.35">
      <c r="A353" s="339"/>
      <c r="B353" s="339"/>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row>
    <row r="354" spans="1:26" ht="15.75" customHeight="1" x14ac:dyDescent="0.35">
      <c r="A354" s="339"/>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row>
    <row r="355" spans="1:26" ht="15.75" customHeight="1" x14ac:dyDescent="0.35">
      <c r="A355" s="339"/>
      <c r="B355" s="339"/>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row>
    <row r="356" spans="1:26" ht="15.75" customHeight="1" x14ac:dyDescent="0.35">
      <c r="A356" s="339"/>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row>
    <row r="357" spans="1:26" ht="15.75" customHeight="1" x14ac:dyDescent="0.35">
      <c r="A357" s="339"/>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row>
    <row r="358" spans="1:26" ht="15.75" customHeight="1" x14ac:dyDescent="0.35">
      <c r="A358" s="339"/>
      <c r="B358" s="339"/>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row>
    <row r="359" spans="1:26" ht="15.75" customHeight="1" x14ac:dyDescent="0.35">
      <c r="A359" s="339"/>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row>
    <row r="360" spans="1:26" ht="15.75" customHeight="1" x14ac:dyDescent="0.35">
      <c r="A360" s="339"/>
      <c r="B360" s="339"/>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row>
    <row r="361" spans="1:26" ht="15.75" customHeight="1" x14ac:dyDescent="0.35">
      <c r="A361" s="339"/>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row>
    <row r="362" spans="1:26" ht="15.75" customHeight="1" x14ac:dyDescent="0.35">
      <c r="A362" s="339"/>
      <c r="B362" s="339"/>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row>
    <row r="363" spans="1:26" ht="15.75" customHeight="1" x14ac:dyDescent="0.35">
      <c r="A363" s="339"/>
      <c r="B363" s="339"/>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row>
    <row r="364" spans="1:26" ht="15.75" customHeight="1" x14ac:dyDescent="0.35">
      <c r="A364" s="339"/>
      <c r="B364" s="339"/>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row>
    <row r="365" spans="1:26" ht="15.75" customHeight="1" x14ac:dyDescent="0.35">
      <c r="A365" s="339"/>
      <c r="B365" s="339"/>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row>
    <row r="366" spans="1:26" ht="15.75" customHeight="1" x14ac:dyDescent="0.35">
      <c r="A366" s="339"/>
      <c r="B366" s="339"/>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row>
    <row r="367" spans="1:26" ht="15.75" customHeight="1" x14ac:dyDescent="0.35">
      <c r="A367" s="339"/>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row>
    <row r="368" spans="1:26" ht="15.75" customHeight="1" x14ac:dyDescent="0.35">
      <c r="A368" s="339"/>
      <c r="B368" s="339"/>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row>
    <row r="369" spans="1:26" ht="15.75" customHeight="1" x14ac:dyDescent="0.35">
      <c r="A369" s="339"/>
      <c r="B369" s="339"/>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row>
    <row r="370" spans="1:26" ht="15.75" customHeight="1" x14ac:dyDescent="0.35">
      <c r="A370" s="339"/>
      <c r="B370" s="339"/>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row>
    <row r="371" spans="1:26" ht="15.75" customHeight="1" x14ac:dyDescent="0.35">
      <c r="A371" s="339"/>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row>
    <row r="372" spans="1:26" ht="15.75" customHeight="1" x14ac:dyDescent="0.35">
      <c r="A372" s="339"/>
      <c r="B372" s="339"/>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row>
    <row r="373" spans="1:26" ht="15.75" customHeight="1" x14ac:dyDescent="0.35">
      <c r="A373" s="339"/>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row>
    <row r="374" spans="1:26" ht="15.75" customHeight="1" x14ac:dyDescent="0.35">
      <c r="A374" s="339"/>
      <c r="B374" s="339"/>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row>
    <row r="375" spans="1:26" ht="15.75" customHeight="1" x14ac:dyDescent="0.35">
      <c r="A375" s="339"/>
      <c r="B375" s="339"/>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row>
    <row r="376" spans="1:26" ht="15.75" customHeight="1" x14ac:dyDescent="0.35">
      <c r="A376" s="339"/>
      <c r="B376" s="339"/>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row>
    <row r="377" spans="1:26" ht="15.75" customHeight="1" x14ac:dyDescent="0.35">
      <c r="A377" s="339"/>
      <c r="B377" s="339"/>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row>
    <row r="378" spans="1:26" ht="15.75" customHeight="1" x14ac:dyDescent="0.35">
      <c r="A378" s="339"/>
      <c r="B378" s="339"/>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row>
    <row r="379" spans="1:26" ht="15.75" customHeight="1" x14ac:dyDescent="0.35">
      <c r="A379" s="339"/>
      <c r="B379" s="339"/>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row>
    <row r="380" spans="1:26" ht="15.75" customHeight="1" x14ac:dyDescent="0.35">
      <c r="A380" s="339"/>
      <c r="B380" s="339"/>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row>
    <row r="381" spans="1:26" ht="15.75" customHeight="1" x14ac:dyDescent="0.35">
      <c r="A381" s="339"/>
      <c r="B381" s="339"/>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row>
    <row r="382" spans="1:26" ht="15.75" customHeight="1" x14ac:dyDescent="0.35">
      <c r="A382" s="339"/>
      <c r="B382" s="339"/>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row>
    <row r="383" spans="1:26" ht="15.75" customHeight="1" x14ac:dyDescent="0.35">
      <c r="A383" s="339"/>
      <c r="B383" s="339"/>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row>
    <row r="384" spans="1:26" ht="15.75" customHeight="1" x14ac:dyDescent="0.35">
      <c r="A384" s="339"/>
      <c r="B384" s="339"/>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row>
    <row r="385" spans="1:26" ht="15.75" customHeight="1" x14ac:dyDescent="0.35">
      <c r="A385" s="339"/>
      <c r="B385" s="339"/>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row>
    <row r="386" spans="1:26" ht="15.75" customHeight="1" x14ac:dyDescent="0.35">
      <c r="A386" s="339"/>
      <c r="B386" s="339"/>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row>
    <row r="387" spans="1:26" ht="15.75" customHeight="1" x14ac:dyDescent="0.35">
      <c r="A387" s="339"/>
      <c r="B387" s="339"/>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row>
    <row r="388" spans="1:26" ht="15.75" customHeight="1" x14ac:dyDescent="0.35">
      <c r="A388" s="339"/>
      <c r="B388" s="339"/>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row>
    <row r="389" spans="1:26" ht="15.75" customHeight="1" x14ac:dyDescent="0.35">
      <c r="A389" s="339"/>
      <c r="B389" s="339"/>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row>
    <row r="390" spans="1:26" ht="15.75" customHeight="1" x14ac:dyDescent="0.35">
      <c r="A390" s="339"/>
      <c r="B390" s="339"/>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row>
    <row r="391" spans="1:26" ht="15.75" customHeight="1" x14ac:dyDescent="0.35">
      <c r="A391" s="339"/>
      <c r="B391" s="339"/>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row>
    <row r="392" spans="1:26" ht="15.75" customHeight="1" x14ac:dyDescent="0.35">
      <c r="A392" s="339"/>
      <c r="B392" s="339"/>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row>
    <row r="393" spans="1:26" ht="15.75" customHeight="1" x14ac:dyDescent="0.35">
      <c r="A393" s="339"/>
      <c r="B393" s="339"/>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row>
    <row r="394" spans="1:26" ht="15.75" customHeight="1" x14ac:dyDescent="0.35">
      <c r="A394" s="339"/>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row>
    <row r="395" spans="1:26" ht="15.75" customHeight="1" x14ac:dyDescent="0.35">
      <c r="A395" s="339"/>
      <c r="B395" s="339"/>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row>
    <row r="396" spans="1:26" ht="15.75" customHeight="1" x14ac:dyDescent="0.35">
      <c r="A396" s="339"/>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row>
    <row r="397" spans="1:26" ht="15.75" customHeight="1" x14ac:dyDescent="0.35">
      <c r="A397" s="339"/>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row>
    <row r="398" spans="1:26" ht="15.75" customHeight="1" x14ac:dyDescent="0.35">
      <c r="A398" s="339"/>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row>
    <row r="399" spans="1:26" ht="15.75" customHeight="1" x14ac:dyDescent="0.35">
      <c r="A399" s="339"/>
      <c r="B399" s="339"/>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row>
    <row r="400" spans="1:26" ht="15.75" customHeight="1" x14ac:dyDescent="0.35">
      <c r="A400" s="339"/>
      <c r="B400" s="339"/>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row>
    <row r="401" spans="1:26" ht="15.75" customHeight="1" x14ac:dyDescent="0.35">
      <c r="A401" s="339"/>
      <c r="B401" s="339"/>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row>
    <row r="402" spans="1:26" ht="15.75" customHeight="1" x14ac:dyDescent="0.35">
      <c r="A402" s="339"/>
      <c r="B402" s="339"/>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row>
    <row r="403" spans="1:26" ht="15.75" customHeight="1" x14ac:dyDescent="0.35">
      <c r="A403" s="339"/>
      <c r="B403" s="339"/>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row>
    <row r="404" spans="1:26" ht="15.75" customHeight="1" x14ac:dyDescent="0.35">
      <c r="A404" s="339"/>
      <c r="B404" s="339"/>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row>
    <row r="405" spans="1:26" ht="15.75" customHeight="1" x14ac:dyDescent="0.35">
      <c r="A405" s="339"/>
      <c r="B405" s="339"/>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row>
    <row r="406" spans="1:26" ht="15.75" customHeight="1" x14ac:dyDescent="0.35">
      <c r="A406" s="339"/>
      <c r="B406" s="339"/>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row>
    <row r="407" spans="1:26" ht="15.75" customHeight="1" x14ac:dyDescent="0.35">
      <c r="A407" s="339"/>
      <c r="B407" s="339"/>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row>
    <row r="408" spans="1:26" ht="15.75" customHeight="1" x14ac:dyDescent="0.35">
      <c r="A408" s="339"/>
      <c r="B408" s="339"/>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row>
    <row r="409" spans="1:26" ht="15.75" customHeight="1" x14ac:dyDescent="0.35">
      <c r="A409" s="339"/>
      <c r="B409" s="339"/>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row>
    <row r="410" spans="1:26" ht="15.75" customHeight="1" x14ac:dyDescent="0.35">
      <c r="A410" s="339"/>
      <c r="B410" s="339"/>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row>
    <row r="411" spans="1:26" ht="15.75" customHeight="1" x14ac:dyDescent="0.35">
      <c r="A411" s="339"/>
      <c r="B411" s="339"/>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row>
    <row r="412" spans="1:26" ht="15.75" customHeight="1" x14ac:dyDescent="0.35">
      <c r="A412" s="339"/>
      <c r="B412" s="339"/>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row>
    <row r="413" spans="1:26" ht="15.75" customHeight="1" x14ac:dyDescent="0.35">
      <c r="A413" s="339"/>
      <c r="B413" s="339"/>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row>
    <row r="414" spans="1:26" ht="15.75" customHeight="1" x14ac:dyDescent="0.35">
      <c r="A414" s="339"/>
      <c r="B414" s="339"/>
      <c r="C414" s="339"/>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row>
    <row r="415" spans="1:26" ht="15.75" customHeight="1" x14ac:dyDescent="0.35">
      <c r="A415" s="339"/>
      <c r="B415" s="339"/>
      <c r="C415" s="339"/>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row>
    <row r="416" spans="1:26" ht="15.75" customHeight="1" x14ac:dyDescent="0.35">
      <c r="A416" s="339"/>
      <c r="B416" s="339"/>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row>
    <row r="417" spans="1:26" ht="15.75" customHeight="1" x14ac:dyDescent="0.35">
      <c r="A417" s="339"/>
      <c r="B417" s="339"/>
      <c r="C417" s="339"/>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row>
    <row r="418" spans="1:26" ht="15.75" customHeight="1" x14ac:dyDescent="0.35">
      <c r="A418" s="339"/>
      <c r="B418" s="339"/>
      <c r="C418" s="339"/>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row>
    <row r="419" spans="1:26" ht="15.75" customHeight="1" x14ac:dyDescent="0.35">
      <c r="A419" s="339"/>
      <c r="B419" s="339"/>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row>
    <row r="420" spans="1:26" ht="15.75" customHeight="1" x14ac:dyDescent="0.35">
      <c r="A420" s="339"/>
      <c r="B420" s="339"/>
      <c r="C420" s="339"/>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row>
    <row r="421" spans="1:26" ht="15.75" customHeight="1" x14ac:dyDescent="0.35">
      <c r="A421" s="339"/>
      <c r="B421" s="339"/>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row>
    <row r="422" spans="1:26" ht="15.75" customHeight="1" x14ac:dyDescent="0.35">
      <c r="A422" s="339"/>
      <c r="B422" s="339"/>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row>
    <row r="423" spans="1:26" ht="15.75" customHeight="1" x14ac:dyDescent="0.35">
      <c r="A423" s="339"/>
      <c r="B423" s="339"/>
      <c r="C423" s="339"/>
      <c r="D423" s="339"/>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row>
    <row r="424" spans="1:26" ht="15.75" customHeight="1" x14ac:dyDescent="0.35">
      <c r="A424" s="339"/>
      <c r="B424" s="339"/>
      <c r="C424" s="339"/>
      <c r="D424" s="339"/>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row>
    <row r="425" spans="1:26" ht="15.75" customHeight="1" x14ac:dyDescent="0.35">
      <c r="A425" s="339"/>
      <c r="B425" s="339"/>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row>
    <row r="426" spans="1:26" ht="15.75" customHeight="1" x14ac:dyDescent="0.35">
      <c r="A426" s="339"/>
      <c r="B426" s="339"/>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row>
    <row r="427" spans="1:26" ht="15.75" customHeight="1" x14ac:dyDescent="0.35">
      <c r="A427" s="339"/>
      <c r="B427" s="339"/>
      <c r="C427" s="339"/>
      <c r="D427" s="339"/>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row>
    <row r="428" spans="1:26" ht="15.75" customHeight="1" x14ac:dyDescent="0.35">
      <c r="A428" s="339"/>
      <c r="B428" s="339"/>
      <c r="C428" s="339"/>
      <c r="D428" s="339"/>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row>
    <row r="429" spans="1:26" ht="15.75" customHeight="1" x14ac:dyDescent="0.35">
      <c r="A429" s="339"/>
      <c r="B429" s="339"/>
      <c r="C429" s="339"/>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row>
    <row r="430" spans="1:26" ht="15.75" customHeight="1" x14ac:dyDescent="0.35">
      <c r="A430" s="339"/>
      <c r="B430" s="339"/>
      <c r="C430" s="339"/>
      <c r="D430" s="339"/>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row>
    <row r="431" spans="1:26" ht="15.75" customHeight="1" x14ac:dyDescent="0.35">
      <c r="A431" s="339"/>
      <c r="B431" s="339"/>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row>
    <row r="432" spans="1:26" ht="15.75" customHeight="1" x14ac:dyDescent="0.35">
      <c r="A432" s="339"/>
      <c r="B432" s="339"/>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row>
    <row r="433" spans="1:26" ht="15.75" customHeight="1" x14ac:dyDescent="0.35">
      <c r="A433" s="339"/>
      <c r="B433" s="339"/>
      <c r="C433" s="339"/>
      <c r="D433" s="339"/>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row>
    <row r="434" spans="1:26" ht="15.75" customHeight="1" x14ac:dyDescent="0.35">
      <c r="A434" s="339"/>
      <c r="B434" s="339"/>
      <c r="C434" s="339"/>
      <c r="D434" s="339"/>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row>
    <row r="435" spans="1:26" ht="15.75" customHeight="1" x14ac:dyDescent="0.35">
      <c r="A435" s="339"/>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row>
    <row r="436" spans="1:26" ht="15.75" customHeight="1" x14ac:dyDescent="0.35">
      <c r="A436" s="339"/>
      <c r="B436" s="339"/>
      <c r="C436" s="339"/>
      <c r="D436" s="339"/>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row>
    <row r="437" spans="1:26" ht="15.75" customHeight="1" x14ac:dyDescent="0.35">
      <c r="A437" s="339"/>
      <c r="B437" s="339"/>
      <c r="C437" s="339"/>
      <c r="D437" s="339"/>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row>
    <row r="438" spans="1:26" ht="15.75" customHeight="1" x14ac:dyDescent="0.35">
      <c r="A438" s="339"/>
      <c r="B438" s="339"/>
      <c r="C438" s="339"/>
      <c r="D438" s="339"/>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row>
    <row r="439" spans="1:26" ht="15.75" customHeight="1" x14ac:dyDescent="0.35">
      <c r="A439" s="339"/>
      <c r="B439" s="339"/>
      <c r="C439" s="339"/>
      <c r="D439" s="339"/>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row>
    <row r="440" spans="1:26" ht="15.75" customHeight="1" x14ac:dyDescent="0.35">
      <c r="A440" s="339"/>
      <c r="B440" s="339"/>
      <c r="C440" s="339"/>
      <c r="D440" s="339"/>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row>
    <row r="441" spans="1:26" ht="15.75" customHeight="1" x14ac:dyDescent="0.35">
      <c r="A441" s="339"/>
      <c r="B441" s="339"/>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row>
    <row r="442" spans="1:26" ht="15.75" customHeight="1" x14ac:dyDescent="0.35">
      <c r="A442" s="339"/>
      <c r="B442" s="339"/>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row>
    <row r="443" spans="1:26" ht="15.75" customHeight="1" x14ac:dyDescent="0.35">
      <c r="A443" s="339"/>
      <c r="B443" s="339"/>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row>
    <row r="444" spans="1:26" ht="15.75" customHeight="1" x14ac:dyDescent="0.35">
      <c r="A444" s="339"/>
      <c r="B444" s="339"/>
      <c r="C444" s="339"/>
      <c r="D444" s="339"/>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row>
    <row r="445" spans="1:26" ht="15.75" customHeight="1" x14ac:dyDescent="0.35">
      <c r="A445" s="339"/>
      <c r="B445" s="339"/>
      <c r="C445" s="339"/>
      <c r="D445" s="339"/>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row>
    <row r="446" spans="1:26" ht="15.75" customHeight="1" x14ac:dyDescent="0.35">
      <c r="A446" s="339"/>
      <c r="B446" s="339"/>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row>
    <row r="447" spans="1:26" ht="15.75" customHeight="1" x14ac:dyDescent="0.35">
      <c r="A447" s="339"/>
      <c r="B447" s="339"/>
      <c r="C447" s="339"/>
      <c r="D447" s="339"/>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row>
    <row r="448" spans="1:26" ht="15.75" customHeight="1" x14ac:dyDescent="0.35">
      <c r="A448" s="339"/>
      <c r="B448" s="339"/>
      <c r="C448" s="339"/>
      <c r="D448" s="339"/>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row>
    <row r="449" spans="1:26" ht="15.75" customHeight="1" x14ac:dyDescent="0.35">
      <c r="A449" s="339"/>
      <c r="B449" s="339"/>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row>
    <row r="450" spans="1:26" ht="15.75" customHeight="1" x14ac:dyDescent="0.35">
      <c r="A450" s="339"/>
      <c r="B450" s="339"/>
      <c r="C450" s="339"/>
      <c r="D450" s="339"/>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row>
    <row r="451" spans="1:26" ht="15.75" customHeight="1" x14ac:dyDescent="0.35">
      <c r="A451" s="339"/>
      <c r="B451" s="339"/>
      <c r="C451" s="339"/>
      <c r="D451" s="339"/>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row>
    <row r="452" spans="1:26" ht="15.75" customHeight="1" x14ac:dyDescent="0.35">
      <c r="A452" s="339"/>
      <c r="B452" s="339"/>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row>
    <row r="453" spans="1:26" ht="15.75" customHeight="1" x14ac:dyDescent="0.35">
      <c r="A453" s="339"/>
      <c r="B453" s="339"/>
      <c r="C453" s="339"/>
      <c r="D453" s="339"/>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row>
    <row r="454" spans="1:26" ht="15.75" customHeight="1" x14ac:dyDescent="0.35">
      <c r="A454" s="339"/>
      <c r="B454" s="339"/>
      <c r="C454" s="339"/>
      <c r="D454" s="339"/>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row>
    <row r="455" spans="1:26" ht="15.75" customHeight="1" x14ac:dyDescent="0.35">
      <c r="A455" s="339"/>
      <c r="B455" s="339"/>
      <c r="C455" s="339"/>
      <c r="D455" s="339"/>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row>
    <row r="456" spans="1:26" ht="15.75" customHeight="1" x14ac:dyDescent="0.35">
      <c r="A456" s="339"/>
      <c r="B456" s="339"/>
      <c r="C456" s="339"/>
      <c r="D456" s="339"/>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row>
    <row r="457" spans="1:26" ht="15.75" customHeight="1" x14ac:dyDescent="0.35">
      <c r="A457" s="339"/>
      <c r="B457" s="339"/>
      <c r="C457" s="339"/>
      <c r="D457" s="339"/>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row>
    <row r="458" spans="1:26" ht="15.75" customHeight="1" x14ac:dyDescent="0.35">
      <c r="A458" s="339"/>
      <c r="B458" s="339"/>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row>
    <row r="459" spans="1:26" ht="15.75" customHeight="1" x14ac:dyDescent="0.35">
      <c r="A459" s="339"/>
      <c r="B459" s="339"/>
      <c r="C459" s="339"/>
      <c r="D459" s="339"/>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row>
    <row r="460" spans="1:26" ht="15.75" customHeight="1" x14ac:dyDescent="0.35">
      <c r="A460" s="339"/>
      <c r="B460" s="339"/>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row>
    <row r="461" spans="1:26" ht="15.75" customHeight="1" x14ac:dyDescent="0.35">
      <c r="A461" s="339"/>
      <c r="B461" s="339"/>
      <c r="C461" s="339"/>
      <c r="D461" s="339"/>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row>
    <row r="462" spans="1:26" ht="15.75" customHeight="1" x14ac:dyDescent="0.35">
      <c r="A462" s="339"/>
      <c r="B462" s="339"/>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row>
    <row r="463" spans="1:26" ht="15.75" customHeight="1" x14ac:dyDescent="0.35">
      <c r="A463" s="339"/>
      <c r="B463" s="339"/>
      <c r="C463" s="339"/>
      <c r="D463" s="339"/>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row>
    <row r="464" spans="1:26" ht="15.75" customHeight="1" x14ac:dyDescent="0.35">
      <c r="A464" s="339"/>
      <c r="B464" s="339"/>
      <c r="C464" s="339"/>
      <c r="D464" s="339"/>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row>
    <row r="465" spans="1:26" ht="15.75" customHeight="1" x14ac:dyDescent="0.35">
      <c r="A465" s="339"/>
      <c r="B465" s="339"/>
      <c r="C465" s="339"/>
      <c r="D465" s="339"/>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row>
    <row r="466" spans="1:26" ht="15.75" customHeight="1" x14ac:dyDescent="0.35">
      <c r="A466" s="339"/>
      <c r="B466" s="339"/>
      <c r="C466" s="339"/>
      <c r="D466" s="339"/>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row>
    <row r="467" spans="1:26" ht="15.75" customHeight="1" x14ac:dyDescent="0.35">
      <c r="A467" s="339"/>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row>
    <row r="468" spans="1:26" ht="15.75" customHeight="1" x14ac:dyDescent="0.35">
      <c r="A468" s="339"/>
      <c r="B468" s="339"/>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row>
    <row r="469" spans="1:26" ht="15.75" customHeight="1" x14ac:dyDescent="0.35">
      <c r="A469" s="339"/>
      <c r="B469" s="339"/>
      <c r="C469" s="339"/>
      <c r="D469" s="339"/>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row>
    <row r="470" spans="1:26" ht="15.75" customHeight="1" x14ac:dyDescent="0.35">
      <c r="A470" s="339"/>
      <c r="B470" s="339"/>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row>
    <row r="471" spans="1:26" ht="15.75" customHeight="1" x14ac:dyDescent="0.35">
      <c r="A471" s="339"/>
      <c r="B471" s="339"/>
      <c r="C471" s="339"/>
      <c r="D471" s="339"/>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row>
    <row r="472" spans="1:26" ht="15.75" customHeight="1" x14ac:dyDescent="0.35">
      <c r="A472" s="339"/>
      <c r="B472" s="339"/>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row>
    <row r="473" spans="1:26" ht="15.75" customHeight="1" x14ac:dyDescent="0.35">
      <c r="A473" s="339"/>
      <c r="B473" s="339"/>
      <c r="C473" s="339"/>
      <c r="D473" s="339"/>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row>
    <row r="474" spans="1:26" ht="15.75" customHeight="1" x14ac:dyDescent="0.35">
      <c r="A474" s="339"/>
      <c r="B474" s="339"/>
      <c r="C474" s="339"/>
      <c r="D474" s="339"/>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row>
    <row r="475" spans="1:26" ht="15.75" customHeight="1" x14ac:dyDescent="0.35">
      <c r="A475" s="339"/>
      <c r="B475" s="339"/>
      <c r="C475" s="339"/>
      <c r="D475" s="339"/>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row>
    <row r="476" spans="1:26" ht="15.75" customHeight="1" x14ac:dyDescent="0.35">
      <c r="A476" s="339"/>
      <c r="B476" s="339"/>
      <c r="C476" s="339"/>
      <c r="D476" s="339"/>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row>
    <row r="477" spans="1:26" ht="15.75" customHeight="1" x14ac:dyDescent="0.35">
      <c r="A477" s="339"/>
      <c r="B477" s="339"/>
      <c r="C477" s="339"/>
      <c r="D477" s="339"/>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row>
    <row r="478" spans="1:26" ht="15.75" customHeight="1" x14ac:dyDescent="0.35">
      <c r="A478" s="339"/>
      <c r="B478" s="339"/>
      <c r="C478" s="339"/>
      <c r="D478" s="339"/>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row>
    <row r="479" spans="1:26" ht="15.75" customHeight="1" x14ac:dyDescent="0.35">
      <c r="A479" s="339"/>
      <c r="B479" s="339"/>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row>
    <row r="480" spans="1:26" ht="15.75" customHeight="1" x14ac:dyDescent="0.35">
      <c r="A480" s="339"/>
      <c r="B480" s="339"/>
      <c r="C480" s="339"/>
      <c r="D480" s="339"/>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row>
    <row r="481" spans="1:26" ht="15.75" customHeight="1" x14ac:dyDescent="0.35">
      <c r="A481" s="339"/>
      <c r="B481" s="339"/>
      <c r="C481" s="339"/>
      <c r="D481" s="339"/>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row>
    <row r="482" spans="1:26" ht="15.75" customHeight="1" x14ac:dyDescent="0.35">
      <c r="A482" s="339"/>
      <c r="B482" s="339"/>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row>
    <row r="483" spans="1:26" ht="15.75" customHeight="1" x14ac:dyDescent="0.35">
      <c r="A483" s="339"/>
      <c r="B483" s="339"/>
      <c r="C483" s="339"/>
      <c r="D483" s="339"/>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row>
    <row r="484" spans="1:26" ht="15.75" customHeight="1" x14ac:dyDescent="0.35">
      <c r="A484" s="339"/>
      <c r="B484" s="339"/>
      <c r="C484" s="339"/>
      <c r="D484" s="339"/>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row>
    <row r="485" spans="1:26" ht="15.75" customHeight="1" x14ac:dyDescent="0.35">
      <c r="A485" s="339"/>
      <c r="B485" s="339"/>
      <c r="C485" s="339"/>
      <c r="D485" s="339"/>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row>
    <row r="486" spans="1:26" ht="15.75" customHeight="1" x14ac:dyDescent="0.35">
      <c r="A486" s="339"/>
      <c r="B486" s="339"/>
      <c r="C486" s="339"/>
      <c r="D486" s="339"/>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row>
    <row r="487" spans="1:26" ht="15.75" customHeight="1" x14ac:dyDescent="0.35">
      <c r="A487" s="339"/>
      <c r="B487" s="339"/>
      <c r="C487" s="339"/>
      <c r="D487" s="339"/>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row>
    <row r="488" spans="1:26" ht="15.75" customHeight="1" x14ac:dyDescent="0.35">
      <c r="A488" s="339"/>
      <c r="B488" s="339"/>
      <c r="C488" s="339"/>
      <c r="D488" s="339"/>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row>
    <row r="489" spans="1:26" ht="15.75" customHeight="1" x14ac:dyDescent="0.35">
      <c r="A489" s="339"/>
      <c r="B489" s="339"/>
      <c r="C489" s="339"/>
      <c r="D489" s="339"/>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row>
    <row r="490" spans="1:26" ht="15.75" customHeight="1" x14ac:dyDescent="0.35">
      <c r="A490" s="339"/>
      <c r="B490" s="339"/>
      <c r="C490" s="339"/>
      <c r="D490" s="339"/>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row>
    <row r="491" spans="1:26" ht="15.75" customHeight="1" x14ac:dyDescent="0.35">
      <c r="A491" s="339"/>
      <c r="B491" s="339"/>
      <c r="C491" s="339"/>
      <c r="D491" s="339"/>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row>
    <row r="492" spans="1:26" ht="15.75" customHeight="1" x14ac:dyDescent="0.35">
      <c r="A492" s="339"/>
      <c r="B492" s="339"/>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row>
    <row r="493" spans="1:26" ht="15.75" customHeight="1" x14ac:dyDescent="0.35">
      <c r="A493" s="339"/>
      <c r="B493" s="339"/>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row>
    <row r="494" spans="1:26" ht="15.75" customHeight="1" x14ac:dyDescent="0.35">
      <c r="A494" s="339"/>
      <c r="B494" s="339"/>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row>
    <row r="495" spans="1:26" ht="15.75" customHeight="1" x14ac:dyDescent="0.35">
      <c r="A495" s="339"/>
      <c r="B495" s="339"/>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row>
    <row r="496" spans="1:26" ht="15.75" customHeight="1" x14ac:dyDescent="0.35">
      <c r="A496" s="339"/>
      <c r="B496" s="339"/>
      <c r="C496" s="339"/>
      <c r="D496" s="339"/>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row>
    <row r="497" spans="1:26" ht="15.75" customHeight="1" x14ac:dyDescent="0.35">
      <c r="A497" s="339"/>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row>
    <row r="498" spans="1:26" ht="15.75" customHeight="1" x14ac:dyDescent="0.35">
      <c r="A498" s="339"/>
      <c r="B498" s="339"/>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row>
    <row r="499" spans="1:26" ht="15.75" customHeight="1" x14ac:dyDescent="0.35">
      <c r="A499" s="339"/>
      <c r="B499" s="339"/>
      <c r="C499" s="339"/>
      <c r="D499" s="339"/>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row>
    <row r="500" spans="1:26" ht="15.75" customHeight="1" x14ac:dyDescent="0.35">
      <c r="A500" s="339"/>
      <c r="B500" s="339"/>
      <c r="C500" s="339"/>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row>
    <row r="501" spans="1:26" ht="15.75" customHeight="1" x14ac:dyDescent="0.35">
      <c r="A501" s="339"/>
      <c r="B501" s="339"/>
      <c r="C501" s="339"/>
      <c r="D501" s="339"/>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row>
    <row r="502" spans="1:26" ht="15.75" customHeight="1" x14ac:dyDescent="0.35">
      <c r="A502" s="339"/>
      <c r="B502" s="339"/>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row>
    <row r="503" spans="1:26" ht="15.75" customHeight="1" x14ac:dyDescent="0.35">
      <c r="A503" s="339"/>
      <c r="B503" s="339"/>
      <c r="C503" s="339"/>
      <c r="D503" s="339"/>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row>
    <row r="504" spans="1:26" ht="15.75" customHeight="1" x14ac:dyDescent="0.35">
      <c r="A504" s="339"/>
      <c r="B504" s="339"/>
      <c r="C504" s="339"/>
      <c r="D504" s="339"/>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row>
    <row r="505" spans="1:26" ht="15.75" customHeight="1" x14ac:dyDescent="0.35">
      <c r="A505" s="339"/>
      <c r="B505" s="339"/>
      <c r="C505" s="339"/>
      <c r="D505" s="339"/>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row>
    <row r="506" spans="1:26" ht="15.75" customHeight="1" x14ac:dyDescent="0.35">
      <c r="A506" s="339"/>
      <c r="B506" s="339"/>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row>
    <row r="507" spans="1:26" ht="15.75" customHeight="1" x14ac:dyDescent="0.35">
      <c r="A507" s="339"/>
      <c r="B507" s="339"/>
      <c r="C507" s="339"/>
      <c r="D507" s="339"/>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row>
    <row r="508" spans="1:26" ht="15.75" customHeight="1" x14ac:dyDescent="0.35">
      <c r="A508" s="339"/>
      <c r="B508" s="339"/>
      <c r="C508" s="339"/>
      <c r="D508" s="339"/>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row>
    <row r="509" spans="1:26" ht="15.75" customHeight="1" x14ac:dyDescent="0.35">
      <c r="A509" s="339"/>
      <c r="B509" s="339"/>
      <c r="C509" s="339"/>
      <c r="D509" s="339"/>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row>
    <row r="510" spans="1:26" ht="15.75" customHeight="1" x14ac:dyDescent="0.35">
      <c r="A510" s="339"/>
      <c r="B510" s="339"/>
      <c r="C510" s="339"/>
      <c r="D510" s="339"/>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row>
    <row r="511" spans="1:26" ht="15.75" customHeight="1" x14ac:dyDescent="0.35">
      <c r="A511" s="339"/>
      <c r="B511" s="339"/>
      <c r="C511" s="339"/>
      <c r="D511" s="339"/>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row>
    <row r="512" spans="1:26" ht="15.75" customHeight="1" x14ac:dyDescent="0.35">
      <c r="A512" s="339"/>
      <c r="B512" s="339"/>
      <c r="C512" s="339"/>
      <c r="D512" s="339"/>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row>
    <row r="513" spans="1:26" ht="15.75" customHeight="1" x14ac:dyDescent="0.35">
      <c r="A513" s="339"/>
      <c r="B513" s="339"/>
      <c r="C513" s="339"/>
      <c r="D513" s="339"/>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row>
    <row r="514" spans="1:26" ht="15.75" customHeight="1" x14ac:dyDescent="0.35">
      <c r="A514" s="339"/>
      <c r="B514" s="339"/>
      <c r="C514" s="339"/>
      <c r="D514" s="339"/>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row>
    <row r="515" spans="1:26" ht="15.75" customHeight="1" x14ac:dyDescent="0.35">
      <c r="A515" s="339"/>
      <c r="B515" s="339"/>
      <c r="C515" s="339"/>
      <c r="D515" s="339"/>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row>
    <row r="516" spans="1:26" ht="15.75" customHeight="1" x14ac:dyDescent="0.35">
      <c r="A516" s="339"/>
      <c r="B516" s="339"/>
      <c r="C516" s="339"/>
      <c r="D516" s="339"/>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row>
    <row r="517" spans="1:26" ht="15.75" customHeight="1" x14ac:dyDescent="0.35">
      <c r="A517" s="339"/>
      <c r="B517" s="339"/>
      <c r="C517" s="339"/>
      <c r="D517" s="339"/>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row>
    <row r="518" spans="1:26" ht="15.75" customHeight="1" x14ac:dyDescent="0.35">
      <c r="A518" s="339"/>
      <c r="B518" s="339"/>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row>
    <row r="519" spans="1:26" ht="15.75" customHeight="1" x14ac:dyDescent="0.35">
      <c r="A519" s="339"/>
      <c r="B519" s="339"/>
      <c r="C519" s="339"/>
      <c r="D519" s="339"/>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row>
    <row r="520" spans="1:26" ht="15.75" customHeight="1" x14ac:dyDescent="0.35">
      <c r="A520" s="339"/>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row>
    <row r="521" spans="1:26" ht="15.75" customHeight="1" x14ac:dyDescent="0.35">
      <c r="A521" s="339"/>
      <c r="B521" s="339"/>
      <c r="C521" s="339"/>
      <c r="D521" s="339"/>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row>
    <row r="522" spans="1:26" ht="15.75" customHeight="1" x14ac:dyDescent="0.35">
      <c r="A522" s="339"/>
      <c r="B522" s="339"/>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row>
    <row r="523" spans="1:26" ht="15.75" customHeight="1" x14ac:dyDescent="0.35">
      <c r="A523" s="339"/>
      <c r="B523" s="339"/>
      <c r="C523" s="339"/>
      <c r="D523" s="339"/>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row>
    <row r="524" spans="1:26" ht="15.75" customHeight="1" x14ac:dyDescent="0.35">
      <c r="A524" s="339"/>
      <c r="B524" s="339"/>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row>
    <row r="525" spans="1:26" ht="15.75" customHeight="1" x14ac:dyDescent="0.35">
      <c r="A525" s="339"/>
      <c r="B525" s="339"/>
      <c r="C525" s="339"/>
      <c r="D525" s="339"/>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row>
    <row r="526" spans="1:26" ht="15.75" customHeight="1" x14ac:dyDescent="0.35">
      <c r="A526" s="339"/>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row>
    <row r="527" spans="1:26" ht="15.75" customHeight="1" x14ac:dyDescent="0.35">
      <c r="A527" s="339"/>
      <c r="B527" s="339"/>
      <c r="C527" s="339"/>
      <c r="D527" s="339"/>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row>
    <row r="528" spans="1:26" ht="15.75" customHeight="1" x14ac:dyDescent="0.35">
      <c r="A528" s="339"/>
      <c r="B528" s="339"/>
      <c r="C528" s="339"/>
      <c r="D528" s="339"/>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row>
    <row r="529" spans="1:26" ht="15.75" customHeight="1" x14ac:dyDescent="0.35">
      <c r="A529" s="339"/>
      <c r="B529" s="339"/>
      <c r="C529" s="339"/>
      <c r="D529" s="339"/>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row>
    <row r="530" spans="1:26" ht="15.75" customHeight="1" x14ac:dyDescent="0.35">
      <c r="A530" s="339"/>
      <c r="B530" s="339"/>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row>
    <row r="531" spans="1:26" ht="15.75" customHeight="1" x14ac:dyDescent="0.35">
      <c r="A531" s="339"/>
      <c r="B531" s="339"/>
      <c r="C531" s="339"/>
      <c r="D531" s="339"/>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row>
    <row r="532" spans="1:26" ht="15.75" customHeight="1" x14ac:dyDescent="0.35">
      <c r="A532" s="339"/>
      <c r="B532" s="339"/>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row>
    <row r="533" spans="1:26" ht="15.75" customHeight="1" x14ac:dyDescent="0.35">
      <c r="A533" s="339"/>
      <c r="B533" s="339"/>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row>
    <row r="534" spans="1:26" ht="15.75" customHeight="1" x14ac:dyDescent="0.35">
      <c r="A534" s="339"/>
      <c r="B534" s="339"/>
      <c r="C534" s="339"/>
      <c r="D534" s="339"/>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row>
    <row r="535" spans="1:26" ht="15.75" customHeight="1" x14ac:dyDescent="0.35">
      <c r="A535" s="339"/>
      <c r="B535" s="339"/>
      <c r="C535" s="339"/>
      <c r="D535" s="339"/>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row>
    <row r="536" spans="1:26" ht="15.75" customHeight="1" x14ac:dyDescent="0.35">
      <c r="A536" s="339"/>
      <c r="B536" s="339"/>
      <c r="C536" s="339"/>
      <c r="D536" s="339"/>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row>
    <row r="537" spans="1:26" ht="15.75" customHeight="1" x14ac:dyDescent="0.35">
      <c r="A537" s="339"/>
      <c r="B537" s="339"/>
      <c r="C537" s="339"/>
      <c r="D537" s="339"/>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row>
    <row r="538" spans="1:26" ht="15.75" customHeight="1" x14ac:dyDescent="0.35">
      <c r="A538" s="339"/>
      <c r="B538" s="339"/>
      <c r="C538" s="339"/>
      <c r="D538" s="339"/>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row>
    <row r="539" spans="1:26" ht="15.75" customHeight="1" x14ac:dyDescent="0.35">
      <c r="A539" s="339"/>
      <c r="B539" s="339"/>
      <c r="C539" s="339"/>
      <c r="D539" s="339"/>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row>
    <row r="540" spans="1:26" ht="15.75" customHeight="1" x14ac:dyDescent="0.35">
      <c r="A540" s="339"/>
      <c r="B540" s="339"/>
      <c r="C540" s="339"/>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row>
    <row r="541" spans="1:26" ht="15.75" customHeight="1" x14ac:dyDescent="0.35">
      <c r="A541" s="339"/>
      <c r="B541" s="339"/>
      <c r="C541" s="339"/>
      <c r="D541" s="339"/>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row>
    <row r="542" spans="1:26" ht="15.75" customHeight="1" x14ac:dyDescent="0.35">
      <c r="A542" s="339"/>
      <c r="B542" s="339"/>
      <c r="C542" s="339"/>
      <c r="D542" s="339"/>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row>
    <row r="543" spans="1:26" ht="15.75" customHeight="1" x14ac:dyDescent="0.35">
      <c r="A543" s="339"/>
      <c r="B543" s="339"/>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row>
    <row r="544" spans="1:26" ht="15.75" customHeight="1" x14ac:dyDescent="0.35">
      <c r="A544" s="339"/>
      <c r="B544" s="339"/>
      <c r="C544" s="339"/>
      <c r="D544" s="339"/>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row>
    <row r="545" spans="1:26" ht="15.75" customHeight="1" x14ac:dyDescent="0.35">
      <c r="A545" s="339"/>
      <c r="B545" s="339"/>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row>
    <row r="546" spans="1:26" ht="15.75" customHeight="1" x14ac:dyDescent="0.35">
      <c r="A546" s="339"/>
      <c r="B546" s="339"/>
      <c r="C546" s="339"/>
      <c r="D546" s="339"/>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row>
    <row r="547" spans="1:26" ht="15.75" customHeight="1" x14ac:dyDescent="0.35">
      <c r="A547" s="339"/>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row>
    <row r="548" spans="1:26" ht="15.75" customHeight="1" x14ac:dyDescent="0.35">
      <c r="A548" s="339"/>
      <c r="B548" s="339"/>
      <c r="C548" s="339"/>
      <c r="D548" s="339"/>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row>
    <row r="549" spans="1:26" ht="15.75" customHeight="1" x14ac:dyDescent="0.35">
      <c r="A549" s="339"/>
      <c r="B549" s="339"/>
      <c r="C549" s="339"/>
      <c r="D549" s="339"/>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row>
    <row r="550" spans="1:26" ht="15.75" customHeight="1" x14ac:dyDescent="0.35">
      <c r="A550" s="339"/>
      <c r="B550" s="339"/>
      <c r="C550" s="339"/>
      <c r="D550" s="339"/>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row>
    <row r="551" spans="1:26" ht="15.75" customHeight="1" x14ac:dyDescent="0.35">
      <c r="A551" s="339"/>
      <c r="B551" s="339"/>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row>
    <row r="552" spans="1:26" ht="15.75" customHeight="1" x14ac:dyDescent="0.35">
      <c r="A552" s="339"/>
      <c r="B552" s="339"/>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row>
    <row r="553" spans="1:26" ht="15.75" customHeight="1" x14ac:dyDescent="0.35">
      <c r="A553" s="339"/>
      <c r="B553" s="339"/>
      <c r="C553" s="339"/>
      <c r="D553" s="339"/>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row>
    <row r="554" spans="1:26" ht="15.75" customHeight="1" x14ac:dyDescent="0.35">
      <c r="A554" s="339"/>
      <c r="B554" s="339"/>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row>
    <row r="555" spans="1:26" ht="15.75" customHeight="1" x14ac:dyDescent="0.35">
      <c r="A555" s="339"/>
      <c r="B555" s="339"/>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row>
    <row r="556" spans="1:26" ht="15.75" customHeight="1" x14ac:dyDescent="0.35">
      <c r="A556" s="339"/>
      <c r="B556" s="339"/>
      <c r="C556" s="339"/>
      <c r="D556" s="339"/>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row>
    <row r="557" spans="1:26" ht="15.75" customHeight="1" x14ac:dyDescent="0.35">
      <c r="A557" s="339"/>
      <c r="B557" s="339"/>
      <c r="C557" s="339"/>
      <c r="D557" s="339"/>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row>
    <row r="558" spans="1:26" ht="15.75" customHeight="1" x14ac:dyDescent="0.35">
      <c r="A558" s="339"/>
      <c r="B558" s="339"/>
      <c r="C558" s="339"/>
      <c r="D558" s="339"/>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row>
    <row r="559" spans="1:26" ht="15.75" customHeight="1" x14ac:dyDescent="0.35">
      <c r="A559" s="339"/>
      <c r="B559" s="339"/>
      <c r="C559" s="339"/>
      <c r="D559" s="339"/>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row>
    <row r="560" spans="1:26" ht="15.75" customHeight="1" x14ac:dyDescent="0.35">
      <c r="A560" s="339"/>
      <c r="B560" s="339"/>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row>
    <row r="561" spans="1:26" ht="15.75" customHeight="1" x14ac:dyDescent="0.35">
      <c r="A561" s="339"/>
      <c r="B561" s="339"/>
      <c r="C561" s="339"/>
      <c r="D561" s="339"/>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row>
    <row r="562" spans="1:26" ht="15.75" customHeight="1" x14ac:dyDescent="0.35">
      <c r="A562" s="339"/>
      <c r="B562" s="339"/>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row>
    <row r="563" spans="1:26" ht="15.75" customHeight="1" x14ac:dyDescent="0.35">
      <c r="A563" s="339"/>
      <c r="B563" s="339"/>
      <c r="C563" s="339"/>
      <c r="D563" s="339"/>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row>
    <row r="564" spans="1:26" ht="15.75" customHeight="1" x14ac:dyDescent="0.35">
      <c r="A564" s="339"/>
      <c r="B564" s="339"/>
      <c r="C564" s="339"/>
      <c r="D564" s="339"/>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row>
    <row r="565" spans="1:26" ht="15.75" customHeight="1" x14ac:dyDescent="0.35">
      <c r="A565" s="339"/>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row>
    <row r="566" spans="1:26" ht="15.75" customHeight="1" x14ac:dyDescent="0.35">
      <c r="A566" s="339"/>
      <c r="B566" s="339"/>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row>
    <row r="567" spans="1:26" ht="15.75" customHeight="1" x14ac:dyDescent="0.35">
      <c r="A567" s="339"/>
      <c r="B567" s="339"/>
      <c r="C567" s="339"/>
      <c r="D567" s="339"/>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row>
    <row r="568" spans="1:26" ht="15.75" customHeight="1" x14ac:dyDescent="0.35">
      <c r="A568" s="339"/>
      <c r="B568" s="339"/>
      <c r="C568" s="339"/>
      <c r="D568" s="339"/>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row>
    <row r="569" spans="1:26" ht="15.75" customHeight="1" x14ac:dyDescent="0.35">
      <c r="A569" s="339"/>
      <c r="B569" s="339"/>
      <c r="C569" s="339"/>
      <c r="D569" s="339"/>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row>
    <row r="570" spans="1:26" ht="15.75" customHeight="1" x14ac:dyDescent="0.35">
      <c r="A570" s="339"/>
      <c r="B570" s="339"/>
      <c r="C570" s="339"/>
      <c r="D570" s="339"/>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row>
    <row r="571" spans="1:26" ht="15.75" customHeight="1" x14ac:dyDescent="0.35">
      <c r="A571" s="339"/>
      <c r="B571" s="339"/>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row>
    <row r="572" spans="1:26" ht="15.75" customHeight="1" x14ac:dyDescent="0.35">
      <c r="A572" s="339"/>
      <c r="B572" s="339"/>
      <c r="C572" s="339"/>
      <c r="D572" s="339"/>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row>
    <row r="573" spans="1:26" ht="15.75" customHeight="1" x14ac:dyDescent="0.35">
      <c r="A573" s="339"/>
      <c r="B573" s="339"/>
      <c r="C573" s="339"/>
      <c r="D573" s="339"/>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row>
    <row r="574" spans="1:26" ht="15.75" customHeight="1" x14ac:dyDescent="0.35">
      <c r="A574" s="339"/>
      <c r="B574" s="339"/>
      <c r="C574" s="339"/>
      <c r="D574" s="339"/>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row>
    <row r="575" spans="1:26" ht="15.75" customHeight="1" x14ac:dyDescent="0.35">
      <c r="A575" s="339"/>
      <c r="B575" s="339"/>
      <c r="C575" s="339"/>
      <c r="D575" s="339"/>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row>
    <row r="576" spans="1:26" ht="15.75" customHeight="1" x14ac:dyDescent="0.35">
      <c r="A576" s="339"/>
      <c r="B576" s="339"/>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row>
    <row r="577" spans="1:26" ht="15.75" customHeight="1" x14ac:dyDescent="0.35">
      <c r="A577" s="339"/>
      <c r="B577" s="339"/>
      <c r="C577" s="339"/>
      <c r="D577" s="339"/>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row>
    <row r="578" spans="1:26" ht="15.75" customHeight="1" x14ac:dyDescent="0.35">
      <c r="A578" s="339"/>
      <c r="B578" s="339"/>
      <c r="C578" s="339"/>
      <c r="D578" s="339"/>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row>
    <row r="579" spans="1:26" ht="15.75" customHeight="1" x14ac:dyDescent="0.35">
      <c r="A579" s="339"/>
      <c r="B579" s="339"/>
      <c r="C579" s="339"/>
      <c r="D579" s="339"/>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row>
    <row r="580" spans="1:26" ht="15.75" customHeight="1" x14ac:dyDescent="0.35">
      <c r="A580" s="339"/>
      <c r="B580" s="339"/>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row>
    <row r="581" spans="1:26" ht="15.75" customHeight="1" x14ac:dyDescent="0.35">
      <c r="A581" s="339"/>
      <c r="B581" s="339"/>
      <c r="C581" s="339"/>
      <c r="D581" s="339"/>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row>
    <row r="582" spans="1:26" ht="15.75" customHeight="1" x14ac:dyDescent="0.35">
      <c r="A582" s="339"/>
      <c r="B582" s="339"/>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row>
    <row r="583" spans="1:26" ht="15.75" customHeight="1" x14ac:dyDescent="0.35">
      <c r="A583" s="339"/>
      <c r="B583" s="339"/>
      <c r="C583" s="339"/>
      <c r="D583" s="339"/>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row>
    <row r="584" spans="1:26" ht="15.75" customHeight="1" x14ac:dyDescent="0.35">
      <c r="A584" s="339"/>
      <c r="B584" s="339"/>
      <c r="C584" s="339"/>
      <c r="D584" s="339"/>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row>
    <row r="585" spans="1:26" ht="15.75" customHeight="1" x14ac:dyDescent="0.35">
      <c r="A585" s="339"/>
      <c r="B585" s="339"/>
      <c r="C585" s="339"/>
      <c r="D585" s="339"/>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row>
    <row r="586" spans="1:26" ht="15.75" customHeight="1" x14ac:dyDescent="0.35">
      <c r="A586" s="339"/>
      <c r="B586" s="339"/>
      <c r="C586" s="339"/>
      <c r="D586" s="339"/>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row>
    <row r="587" spans="1:26" ht="15.75" customHeight="1" x14ac:dyDescent="0.35">
      <c r="A587" s="339"/>
      <c r="B587" s="339"/>
      <c r="C587" s="339"/>
      <c r="D587" s="339"/>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row>
    <row r="588" spans="1:26" ht="15.75" customHeight="1" x14ac:dyDescent="0.35">
      <c r="A588" s="339"/>
      <c r="B588" s="339"/>
      <c r="C588" s="339"/>
      <c r="D588" s="339"/>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row>
    <row r="589" spans="1:26" ht="15.75" customHeight="1" x14ac:dyDescent="0.35">
      <c r="A589" s="339"/>
      <c r="B589" s="339"/>
      <c r="C589" s="339"/>
      <c r="D589" s="339"/>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row>
    <row r="590" spans="1:26" ht="15.75" customHeight="1" x14ac:dyDescent="0.35">
      <c r="A590" s="339"/>
      <c r="B590" s="339"/>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row>
    <row r="591" spans="1:26" ht="15.75" customHeight="1" x14ac:dyDescent="0.35">
      <c r="A591" s="339"/>
      <c r="B591" s="339"/>
      <c r="C591" s="339"/>
      <c r="D591" s="339"/>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row>
    <row r="592" spans="1:26" ht="15.75" customHeight="1" x14ac:dyDescent="0.35">
      <c r="A592" s="339"/>
      <c r="B592" s="339"/>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row>
    <row r="593" spans="1:26" ht="15.75" customHeight="1" x14ac:dyDescent="0.35">
      <c r="A593" s="339"/>
      <c r="B593" s="339"/>
      <c r="C593" s="339"/>
      <c r="D593" s="339"/>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row>
    <row r="594" spans="1:26" ht="15.75" customHeight="1" x14ac:dyDescent="0.35">
      <c r="A594" s="339"/>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row>
    <row r="595" spans="1:26" ht="15.75" customHeight="1" x14ac:dyDescent="0.35">
      <c r="A595" s="339"/>
      <c r="B595" s="339"/>
      <c r="C595" s="339"/>
      <c r="D595" s="339"/>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row>
    <row r="596" spans="1:26" ht="15.75" customHeight="1" x14ac:dyDescent="0.35">
      <c r="A596" s="339"/>
      <c r="B596" s="339"/>
      <c r="C596" s="339"/>
      <c r="D596" s="339"/>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row>
    <row r="597" spans="1:26" ht="15.75" customHeight="1" x14ac:dyDescent="0.35">
      <c r="A597" s="339"/>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row>
    <row r="598" spans="1:26" ht="15.75" customHeight="1" x14ac:dyDescent="0.35">
      <c r="A598" s="339"/>
      <c r="B598" s="339"/>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row>
    <row r="599" spans="1:26" ht="15.75" customHeight="1" x14ac:dyDescent="0.35">
      <c r="A599" s="339"/>
      <c r="B599" s="339"/>
      <c r="C599" s="339"/>
      <c r="D599" s="339"/>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row>
    <row r="600" spans="1:26" ht="15.75" customHeight="1" x14ac:dyDescent="0.35">
      <c r="A600" s="339"/>
      <c r="B600" s="339"/>
      <c r="C600" s="339"/>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row>
    <row r="601" spans="1:26" ht="15.75" customHeight="1" x14ac:dyDescent="0.35">
      <c r="A601" s="339"/>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row>
    <row r="602" spans="1:26" ht="15.75" customHeight="1" x14ac:dyDescent="0.35">
      <c r="A602" s="339"/>
      <c r="B602" s="339"/>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row>
    <row r="603" spans="1:26" ht="15.75" customHeight="1" x14ac:dyDescent="0.35">
      <c r="A603" s="339"/>
      <c r="B603" s="339"/>
      <c r="C603" s="339"/>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row>
    <row r="604" spans="1:26" ht="15.75" customHeight="1" x14ac:dyDescent="0.35">
      <c r="A604" s="339"/>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row>
    <row r="605" spans="1:26" ht="15.75" customHeight="1" x14ac:dyDescent="0.35">
      <c r="A605" s="339"/>
      <c r="B605" s="339"/>
      <c r="C605" s="339"/>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row>
    <row r="606" spans="1:26" ht="15.75" customHeight="1" x14ac:dyDescent="0.35">
      <c r="A606" s="339"/>
      <c r="B606" s="339"/>
      <c r="C606" s="339"/>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row>
    <row r="607" spans="1:26" ht="15.75" customHeight="1" x14ac:dyDescent="0.35">
      <c r="A607" s="339"/>
      <c r="B607" s="339"/>
      <c r="C607" s="339"/>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row>
    <row r="608" spans="1:26" ht="15.75" customHeight="1" x14ac:dyDescent="0.35">
      <c r="A608" s="339"/>
      <c r="B608" s="339"/>
      <c r="C608" s="339"/>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row>
    <row r="609" spans="1:26" ht="15.75" customHeight="1" x14ac:dyDescent="0.35">
      <c r="A609" s="339"/>
      <c r="B609" s="339"/>
      <c r="C609" s="339"/>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row>
    <row r="610" spans="1:26" ht="15.75" customHeight="1" x14ac:dyDescent="0.35">
      <c r="A610" s="339"/>
      <c r="B610" s="339"/>
      <c r="C610" s="339"/>
      <c r="D610" s="339"/>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row>
    <row r="611" spans="1:26" ht="15.75" customHeight="1" x14ac:dyDescent="0.35">
      <c r="A611" s="339"/>
      <c r="B611" s="339"/>
      <c r="C611" s="339"/>
      <c r="D611" s="339"/>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row>
    <row r="612" spans="1:26" ht="15.75" customHeight="1" x14ac:dyDescent="0.35">
      <c r="A612" s="339"/>
      <c r="B612" s="339"/>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row>
    <row r="613" spans="1:26" ht="15.75" customHeight="1" x14ac:dyDescent="0.35">
      <c r="A613" s="339"/>
      <c r="B613" s="339"/>
      <c r="C613" s="339"/>
      <c r="D613" s="339"/>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row>
    <row r="614" spans="1:26" ht="15.75" customHeight="1" x14ac:dyDescent="0.35">
      <c r="A614" s="339"/>
      <c r="B614" s="339"/>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row>
    <row r="615" spans="1:26" ht="15.75" customHeight="1" x14ac:dyDescent="0.35">
      <c r="A615" s="339"/>
      <c r="B615" s="339"/>
      <c r="C615" s="339"/>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row>
    <row r="616" spans="1:26" ht="15.75" customHeight="1" x14ac:dyDescent="0.35">
      <c r="A616" s="339"/>
      <c r="B616" s="339"/>
      <c r="C616" s="339"/>
      <c r="D616" s="339"/>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row>
    <row r="617" spans="1:26" ht="15.75" customHeight="1" x14ac:dyDescent="0.35">
      <c r="A617" s="339"/>
      <c r="B617" s="339"/>
      <c r="C617" s="339"/>
      <c r="D617" s="339"/>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row>
    <row r="618" spans="1:26" ht="15.75" customHeight="1" x14ac:dyDescent="0.35">
      <c r="A618" s="339"/>
      <c r="B618" s="339"/>
      <c r="C618" s="339"/>
      <c r="D618" s="339"/>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row>
    <row r="619" spans="1:26" ht="15.75" customHeight="1" x14ac:dyDescent="0.35">
      <c r="A619" s="339"/>
      <c r="B619" s="339"/>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row>
    <row r="620" spans="1:26" ht="15.75" customHeight="1" x14ac:dyDescent="0.35">
      <c r="A620" s="339"/>
      <c r="B620" s="339"/>
      <c r="C620" s="339"/>
      <c r="D620" s="339"/>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row>
    <row r="621" spans="1:26" ht="15.75" customHeight="1" x14ac:dyDescent="0.35">
      <c r="A621" s="339"/>
      <c r="B621" s="339"/>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row>
    <row r="622" spans="1:26" ht="15.75" customHeight="1" x14ac:dyDescent="0.35">
      <c r="A622" s="339"/>
      <c r="B622" s="339"/>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row>
    <row r="623" spans="1:26" ht="15.75" customHeight="1" x14ac:dyDescent="0.35">
      <c r="A623" s="339"/>
      <c r="B623" s="339"/>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row>
    <row r="624" spans="1:26" ht="15.75" customHeight="1" x14ac:dyDescent="0.35">
      <c r="A624" s="339"/>
      <c r="B624" s="339"/>
      <c r="C624" s="339"/>
      <c r="D624" s="339"/>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row>
    <row r="625" spans="1:26" ht="15.75" customHeight="1" x14ac:dyDescent="0.35">
      <c r="A625" s="339"/>
      <c r="B625" s="339"/>
      <c r="C625" s="339"/>
      <c r="D625" s="339"/>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row>
    <row r="626" spans="1:26" ht="15.75" customHeight="1" x14ac:dyDescent="0.35">
      <c r="A626" s="339"/>
      <c r="B626" s="339"/>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row>
    <row r="627" spans="1:26" ht="15.75" customHeight="1" x14ac:dyDescent="0.35">
      <c r="A627" s="339"/>
      <c r="B627" s="339"/>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row>
    <row r="628" spans="1:26" ht="15.75" customHeight="1" x14ac:dyDescent="0.35">
      <c r="A628" s="339"/>
      <c r="B628" s="339"/>
      <c r="C628" s="339"/>
      <c r="D628" s="339"/>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row>
    <row r="629" spans="1:26" ht="15.75" customHeight="1" x14ac:dyDescent="0.35">
      <c r="A629" s="339"/>
      <c r="B629" s="339"/>
      <c r="C629" s="339"/>
      <c r="D629" s="339"/>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row>
    <row r="630" spans="1:26" ht="15.75" customHeight="1" x14ac:dyDescent="0.35">
      <c r="A630" s="339"/>
      <c r="B630" s="339"/>
      <c r="C630" s="339"/>
      <c r="D630" s="339"/>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row>
    <row r="631" spans="1:26" ht="15.75" customHeight="1" x14ac:dyDescent="0.35">
      <c r="A631" s="339"/>
      <c r="B631" s="339"/>
      <c r="C631" s="339"/>
      <c r="D631" s="339"/>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row>
    <row r="632" spans="1:26" ht="15.75" customHeight="1" x14ac:dyDescent="0.35">
      <c r="A632" s="339"/>
      <c r="B632" s="339"/>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row>
    <row r="633" spans="1:26" ht="15.75" customHeight="1" x14ac:dyDescent="0.35">
      <c r="A633" s="339"/>
      <c r="B633" s="339"/>
      <c r="C633" s="339"/>
      <c r="D633" s="339"/>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row>
    <row r="634" spans="1:26" ht="15.75" customHeight="1" x14ac:dyDescent="0.35">
      <c r="A634" s="339"/>
      <c r="B634" s="339"/>
      <c r="C634" s="339"/>
      <c r="D634" s="339"/>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row>
    <row r="635" spans="1:26" ht="15.75" customHeight="1" x14ac:dyDescent="0.35">
      <c r="A635" s="339"/>
      <c r="B635" s="339"/>
      <c r="C635" s="339"/>
      <c r="D635" s="339"/>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row>
    <row r="636" spans="1:26" ht="15.75" customHeight="1" x14ac:dyDescent="0.35">
      <c r="A636" s="339"/>
      <c r="B636" s="339"/>
      <c r="C636" s="339"/>
      <c r="D636" s="339"/>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row>
    <row r="637" spans="1:26" ht="15.75" customHeight="1" x14ac:dyDescent="0.35">
      <c r="A637" s="339"/>
      <c r="B637" s="339"/>
      <c r="C637" s="339"/>
      <c r="D637" s="339"/>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row>
    <row r="638" spans="1:26" ht="15.75" customHeight="1" x14ac:dyDescent="0.35">
      <c r="A638" s="339"/>
      <c r="B638" s="339"/>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row>
    <row r="639" spans="1:26" ht="15.75" customHeight="1" x14ac:dyDescent="0.35">
      <c r="A639" s="339"/>
      <c r="B639" s="339"/>
      <c r="C639" s="339"/>
      <c r="D639" s="339"/>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row>
    <row r="640" spans="1:26" ht="15.75" customHeight="1" x14ac:dyDescent="0.35">
      <c r="A640" s="339"/>
      <c r="B640" s="339"/>
      <c r="C640" s="339"/>
      <c r="D640" s="339"/>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row>
    <row r="641" spans="1:26" ht="15.75" customHeight="1" x14ac:dyDescent="0.35">
      <c r="A641" s="339"/>
      <c r="B641" s="339"/>
      <c r="C641" s="339"/>
      <c r="D641" s="339"/>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row>
    <row r="642" spans="1:26" ht="15.75" customHeight="1" x14ac:dyDescent="0.35">
      <c r="A642" s="339"/>
      <c r="B642" s="339"/>
      <c r="C642" s="339"/>
      <c r="D642" s="339"/>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row>
    <row r="643" spans="1:26" ht="15.75" customHeight="1" x14ac:dyDescent="0.35">
      <c r="A643" s="339"/>
      <c r="B643" s="339"/>
      <c r="C643" s="339"/>
      <c r="D643" s="339"/>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row>
    <row r="644" spans="1:26" ht="15.75" customHeight="1" x14ac:dyDescent="0.35">
      <c r="A644" s="339"/>
      <c r="B644" s="339"/>
      <c r="C644" s="339"/>
      <c r="D644" s="339"/>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row>
    <row r="645" spans="1:26" ht="15.75" customHeight="1" x14ac:dyDescent="0.35">
      <c r="A645" s="339"/>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row>
    <row r="646" spans="1:26" ht="15.75" customHeight="1" x14ac:dyDescent="0.35">
      <c r="A646" s="339"/>
      <c r="B646" s="339"/>
      <c r="C646" s="339"/>
      <c r="D646" s="339"/>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row>
    <row r="647" spans="1:26" ht="15.75" customHeight="1" x14ac:dyDescent="0.35">
      <c r="A647" s="339"/>
      <c r="B647" s="339"/>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row>
    <row r="648" spans="1:26" ht="15.75" customHeight="1" x14ac:dyDescent="0.35">
      <c r="A648" s="339"/>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row>
    <row r="649" spans="1:26" ht="15.75" customHeight="1" x14ac:dyDescent="0.35">
      <c r="A649" s="339"/>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row>
    <row r="650" spans="1:26" ht="15.75" customHeight="1" x14ac:dyDescent="0.35">
      <c r="A650" s="339"/>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row>
    <row r="651" spans="1:26" ht="15.75" customHeight="1" x14ac:dyDescent="0.35">
      <c r="A651" s="339"/>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row>
    <row r="652" spans="1:26" ht="15.75" customHeight="1" x14ac:dyDescent="0.35">
      <c r="A652" s="339"/>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row>
    <row r="653" spans="1:26" ht="15.75" customHeight="1" x14ac:dyDescent="0.35">
      <c r="A653" s="339"/>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row>
    <row r="654" spans="1:26" ht="15.75" customHeight="1" x14ac:dyDescent="0.35">
      <c r="A654" s="339"/>
      <c r="B654" s="339"/>
      <c r="C654" s="339"/>
      <c r="D654" s="339"/>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row>
    <row r="655" spans="1:26" ht="15.75" customHeight="1" x14ac:dyDescent="0.35">
      <c r="A655" s="339"/>
      <c r="B655" s="339"/>
      <c r="C655" s="339"/>
      <c r="D655" s="339"/>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row>
    <row r="656" spans="1:26" ht="15.75" customHeight="1" x14ac:dyDescent="0.35">
      <c r="A656" s="339"/>
      <c r="B656" s="339"/>
      <c r="C656" s="339"/>
      <c r="D656" s="339"/>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row>
    <row r="657" spans="1:26" ht="15.75" customHeight="1" x14ac:dyDescent="0.35">
      <c r="A657" s="339"/>
      <c r="B657" s="339"/>
      <c r="C657" s="339"/>
      <c r="D657" s="339"/>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row>
    <row r="658" spans="1:26" ht="15.75" customHeight="1" x14ac:dyDescent="0.35">
      <c r="A658" s="339"/>
      <c r="B658" s="339"/>
      <c r="C658" s="339"/>
      <c r="D658" s="339"/>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row>
    <row r="659" spans="1:26" ht="15.75" customHeight="1" x14ac:dyDescent="0.35">
      <c r="A659" s="339"/>
      <c r="B659" s="339"/>
      <c r="C659" s="339"/>
      <c r="D659" s="339"/>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row>
    <row r="660" spans="1:26" ht="15.75" customHeight="1" x14ac:dyDescent="0.35">
      <c r="A660" s="339"/>
      <c r="B660" s="339"/>
      <c r="C660" s="339"/>
      <c r="D660" s="339"/>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row>
    <row r="661" spans="1:26" ht="15.75" customHeight="1" x14ac:dyDescent="0.35">
      <c r="A661" s="339"/>
      <c r="B661" s="339"/>
      <c r="C661" s="339"/>
      <c r="D661" s="339"/>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row>
    <row r="662" spans="1:26" ht="15.75" customHeight="1" x14ac:dyDescent="0.35">
      <c r="A662" s="339"/>
      <c r="B662" s="339"/>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row>
    <row r="663" spans="1:26" ht="15.75" customHeight="1" x14ac:dyDescent="0.35">
      <c r="A663" s="339"/>
      <c r="B663" s="339"/>
      <c r="C663" s="339"/>
      <c r="D663" s="339"/>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row>
    <row r="664" spans="1:26" ht="15.75" customHeight="1" x14ac:dyDescent="0.35">
      <c r="A664" s="339"/>
      <c r="B664" s="339"/>
      <c r="C664" s="339"/>
      <c r="D664" s="339"/>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row>
    <row r="665" spans="1:26" ht="15.75" customHeight="1" x14ac:dyDescent="0.35">
      <c r="A665" s="339"/>
      <c r="B665" s="339"/>
      <c r="C665" s="339"/>
      <c r="D665" s="339"/>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row>
    <row r="666" spans="1:26" ht="15.75" customHeight="1" x14ac:dyDescent="0.35">
      <c r="A666" s="339"/>
      <c r="B666" s="339"/>
      <c r="C666" s="339"/>
      <c r="D666" s="339"/>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row>
    <row r="667" spans="1:26" ht="15.75" customHeight="1" x14ac:dyDescent="0.35">
      <c r="A667" s="339"/>
      <c r="B667" s="339"/>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row>
    <row r="668" spans="1:26" ht="15.75" customHeight="1" x14ac:dyDescent="0.35">
      <c r="A668" s="339"/>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row>
    <row r="669" spans="1:26" ht="15.75" customHeight="1" x14ac:dyDescent="0.35">
      <c r="A669" s="339"/>
      <c r="B669" s="339"/>
      <c r="C669" s="339"/>
      <c r="D669" s="339"/>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row>
    <row r="670" spans="1:26" ht="15.75" customHeight="1" x14ac:dyDescent="0.35">
      <c r="A670" s="339"/>
      <c r="B670" s="339"/>
      <c r="C670" s="339"/>
      <c r="D670" s="339"/>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row>
    <row r="671" spans="1:26" ht="15.75" customHeight="1" x14ac:dyDescent="0.35">
      <c r="A671" s="339"/>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row>
    <row r="672" spans="1:26" ht="15.75" customHeight="1" x14ac:dyDescent="0.35">
      <c r="A672" s="339"/>
      <c r="B672" s="339"/>
      <c r="C672" s="339"/>
      <c r="D672" s="339"/>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row>
    <row r="673" spans="1:26" ht="15.75" customHeight="1" x14ac:dyDescent="0.35">
      <c r="A673" s="339"/>
      <c r="B673" s="339"/>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row>
    <row r="674" spans="1:26" ht="15.75" customHeight="1" x14ac:dyDescent="0.35">
      <c r="A674" s="339"/>
      <c r="B674" s="339"/>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row>
    <row r="675" spans="1:26" ht="15.75" customHeight="1" x14ac:dyDescent="0.35">
      <c r="A675" s="339"/>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row>
    <row r="676" spans="1:26" ht="15.75" customHeight="1" x14ac:dyDescent="0.35">
      <c r="A676" s="339"/>
      <c r="B676" s="339"/>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row>
    <row r="677" spans="1:26" ht="15.75" customHeight="1" x14ac:dyDescent="0.35">
      <c r="A677" s="339"/>
      <c r="B677" s="339"/>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row>
    <row r="678" spans="1:26" ht="15.75" customHeight="1" x14ac:dyDescent="0.35">
      <c r="A678" s="339"/>
      <c r="B678" s="339"/>
      <c r="C678" s="339"/>
      <c r="D678" s="339"/>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row>
    <row r="679" spans="1:26" ht="15.75" customHeight="1" x14ac:dyDescent="0.35">
      <c r="A679" s="339"/>
      <c r="B679" s="339"/>
      <c r="C679" s="339"/>
      <c r="D679" s="339"/>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row>
    <row r="680" spans="1:26" ht="15.75" customHeight="1" x14ac:dyDescent="0.35">
      <c r="A680" s="339"/>
      <c r="B680" s="339"/>
      <c r="C680" s="339"/>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row>
    <row r="681" spans="1:26" ht="15.75" customHeight="1" x14ac:dyDescent="0.35">
      <c r="A681" s="339"/>
      <c r="B681" s="339"/>
      <c r="C681" s="339"/>
      <c r="D681" s="339"/>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row>
    <row r="682" spans="1:26" ht="15.75" customHeight="1" x14ac:dyDescent="0.35">
      <c r="A682" s="339"/>
      <c r="B682" s="339"/>
      <c r="C682" s="339"/>
      <c r="D682" s="339"/>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row>
    <row r="683" spans="1:26" ht="15.75" customHeight="1" x14ac:dyDescent="0.35">
      <c r="A683" s="339"/>
      <c r="B683" s="339"/>
      <c r="C683" s="339"/>
      <c r="D683" s="339"/>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row>
    <row r="684" spans="1:26" ht="15.75" customHeight="1" x14ac:dyDescent="0.35">
      <c r="A684" s="339"/>
      <c r="B684" s="339"/>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row>
    <row r="685" spans="1:26" ht="15.75" customHeight="1" x14ac:dyDescent="0.35">
      <c r="A685" s="339"/>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row>
    <row r="686" spans="1:26" ht="15.75" customHeight="1" x14ac:dyDescent="0.35">
      <c r="A686" s="339"/>
      <c r="B686" s="339"/>
      <c r="C686" s="339"/>
      <c r="D686" s="339"/>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row>
    <row r="687" spans="1:26" ht="15.75" customHeight="1" x14ac:dyDescent="0.35">
      <c r="A687" s="339"/>
      <c r="B687" s="339"/>
      <c r="C687" s="339"/>
      <c r="D687" s="339"/>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row>
    <row r="688" spans="1:26" ht="15.75" customHeight="1" x14ac:dyDescent="0.35">
      <c r="A688" s="339"/>
      <c r="B688" s="339"/>
      <c r="C688" s="339"/>
      <c r="D688" s="339"/>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row>
    <row r="689" spans="1:26" ht="15.75" customHeight="1" x14ac:dyDescent="0.35">
      <c r="A689" s="339"/>
      <c r="B689" s="339"/>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row>
    <row r="690" spans="1:26" ht="15.75" customHeight="1" x14ac:dyDescent="0.35">
      <c r="A690" s="339"/>
      <c r="B690" s="339"/>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row>
    <row r="691" spans="1:26" ht="15.75" customHeight="1" x14ac:dyDescent="0.35">
      <c r="A691" s="339"/>
      <c r="B691" s="339"/>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row>
    <row r="692" spans="1:26" ht="15.75" customHeight="1" x14ac:dyDescent="0.35">
      <c r="A692" s="339"/>
      <c r="B692" s="339"/>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row>
    <row r="693" spans="1:26" ht="15.75" customHeight="1" x14ac:dyDescent="0.35">
      <c r="A693" s="339"/>
      <c r="B693" s="339"/>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row>
    <row r="694" spans="1:26" ht="15.75" customHeight="1" x14ac:dyDescent="0.35">
      <c r="A694" s="339"/>
      <c r="B694" s="339"/>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row>
    <row r="695" spans="1:26" ht="15.75" customHeight="1" x14ac:dyDescent="0.35">
      <c r="A695" s="339"/>
      <c r="B695" s="339"/>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row>
    <row r="696" spans="1:26" ht="15.75" customHeight="1" x14ac:dyDescent="0.35">
      <c r="A696" s="339"/>
      <c r="B696" s="339"/>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row>
    <row r="697" spans="1:26" ht="15.75" customHeight="1" x14ac:dyDescent="0.35">
      <c r="A697" s="339"/>
      <c r="B697" s="339"/>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row>
    <row r="698" spans="1:26" ht="15.75" customHeight="1" x14ac:dyDescent="0.35">
      <c r="A698" s="339"/>
      <c r="B698" s="339"/>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row>
    <row r="699" spans="1:26" ht="15.75" customHeight="1" x14ac:dyDescent="0.35">
      <c r="A699" s="339"/>
      <c r="B699" s="339"/>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row>
    <row r="700" spans="1:26" ht="15.75" customHeight="1" x14ac:dyDescent="0.35">
      <c r="A700" s="339"/>
      <c r="B700" s="339"/>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row>
    <row r="701" spans="1:26" ht="15.75" customHeight="1" x14ac:dyDescent="0.35">
      <c r="A701" s="339"/>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row>
    <row r="702" spans="1:26" ht="15.75" customHeight="1" x14ac:dyDescent="0.35">
      <c r="A702" s="339"/>
      <c r="B702" s="339"/>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row>
    <row r="703" spans="1:26" ht="15.75" customHeight="1" x14ac:dyDescent="0.35">
      <c r="A703" s="339"/>
      <c r="B703" s="339"/>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row>
    <row r="704" spans="1:26" ht="15.75" customHeight="1" x14ac:dyDescent="0.35">
      <c r="A704" s="339"/>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row>
    <row r="705" spans="1:26" ht="15.75" customHeight="1" x14ac:dyDescent="0.35">
      <c r="A705" s="339"/>
      <c r="B705" s="339"/>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row>
    <row r="706" spans="1:26" ht="15.75" customHeight="1" x14ac:dyDescent="0.35">
      <c r="A706" s="339"/>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row>
    <row r="707" spans="1:26" ht="15.75" customHeight="1" x14ac:dyDescent="0.35">
      <c r="A707" s="339"/>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row>
    <row r="708" spans="1:26" ht="15.75" customHeight="1" x14ac:dyDescent="0.35">
      <c r="A708" s="339"/>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row>
    <row r="709" spans="1:26" ht="15.75" customHeight="1" x14ac:dyDescent="0.35">
      <c r="A709" s="339"/>
      <c r="B709" s="339"/>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row>
    <row r="710" spans="1:26" ht="15.75" customHeight="1" x14ac:dyDescent="0.35">
      <c r="A710" s="339"/>
      <c r="B710" s="339"/>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row>
    <row r="711" spans="1:26" ht="15.75" customHeight="1" x14ac:dyDescent="0.35">
      <c r="A711" s="339"/>
      <c r="B711" s="339"/>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row>
    <row r="712" spans="1:26" ht="15.75" customHeight="1" x14ac:dyDescent="0.35">
      <c r="A712" s="339"/>
      <c r="B712" s="339"/>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row>
    <row r="713" spans="1:26" ht="15.75" customHeight="1" x14ac:dyDescent="0.35">
      <c r="A713" s="339"/>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row>
    <row r="714" spans="1:26" ht="15.75" customHeight="1" x14ac:dyDescent="0.35">
      <c r="A714" s="339"/>
      <c r="B714" s="339"/>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row>
    <row r="715" spans="1:26" ht="15.75" customHeight="1" x14ac:dyDescent="0.35">
      <c r="A715" s="339"/>
      <c r="B715" s="339"/>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row>
    <row r="716" spans="1:26" ht="15.75" customHeight="1" x14ac:dyDescent="0.35">
      <c r="A716" s="339"/>
      <c r="B716" s="339"/>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row>
    <row r="717" spans="1:26" ht="15.75" customHeight="1" x14ac:dyDescent="0.35">
      <c r="A717" s="339"/>
      <c r="B717" s="339"/>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row>
    <row r="718" spans="1:26" ht="15.75" customHeight="1" x14ac:dyDescent="0.35">
      <c r="A718" s="339"/>
      <c r="B718" s="339"/>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row>
    <row r="719" spans="1:26" ht="15.75" customHeight="1" x14ac:dyDescent="0.35">
      <c r="A719" s="339"/>
      <c r="B719" s="339"/>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row>
    <row r="720" spans="1:26" ht="15.75" customHeight="1" x14ac:dyDescent="0.35">
      <c r="A720" s="339"/>
      <c r="B720" s="339"/>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row>
    <row r="721" spans="1:26" ht="15.75" customHeight="1" x14ac:dyDescent="0.35">
      <c r="A721" s="339"/>
      <c r="B721" s="339"/>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row>
    <row r="722" spans="1:26" ht="15.75" customHeight="1" x14ac:dyDescent="0.35">
      <c r="A722" s="339"/>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row>
    <row r="723" spans="1:26" ht="15.75" customHeight="1" x14ac:dyDescent="0.35">
      <c r="A723" s="339"/>
      <c r="B723" s="339"/>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row>
    <row r="724" spans="1:26" ht="15.75" customHeight="1" x14ac:dyDescent="0.35">
      <c r="A724" s="339"/>
      <c r="B724" s="339"/>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row>
    <row r="725" spans="1:26" ht="15.75" customHeight="1" x14ac:dyDescent="0.35">
      <c r="A725" s="339"/>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row>
    <row r="726" spans="1:26" ht="15.75" customHeight="1" x14ac:dyDescent="0.35">
      <c r="A726" s="339"/>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row>
    <row r="727" spans="1:26" ht="15.75" customHeight="1" x14ac:dyDescent="0.35">
      <c r="A727" s="339"/>
      <c r="B727" s="339"/>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row>
    <row r="728" spans="1:26" ht="15.75" customHeight="1" x14ac:dyDescent="0.35">
      <c r="A728" s="339"/>
      <c r="B728" s="339"/>
      <c r="C728" s="339"/>
      <c r="D728" s="339"/>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row>
    <row r="729" spans="1:26" ht="15.75" customHeight="1" x14ac:dyDescent="0.35">
      <c r="A729" s="339"/>
      <c r="B729" s="339"/>
      <c r="C729" s="339"/>
      <c r="D729" s="339"/>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row>
    <row r="730" spans="1:26" ht="15.75" customHeight="1" x14ac:dyDescent="0.35">
      <c r="A730" s="339"/>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row>
    <row r="731" spans="1:26" ht="15.75" customHeight="1" x14ac:dyDescent="0.35">
      <c r="A731" s="339"/>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row>
    <row r="732" spans="1:26" ht="15.75" customHeight="1" x14ac:dyDescent="0.35">
      <c r="A732" s="339"/>
      <c r="B732" s="339"/>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row>
    <row r="733" spans="1:26" ht="15.75" customHeight="1" x14ac:dyDescent="0.35">
      <c r="A733" s="339"/>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row>
    <row r="734" spans="1:26" ht="15.75" customHeight="1" x14ac:dyDescent="0.35">
      <c r="A734" s="339"/>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row>
    <row r="735" spans="1:26" ht="15.75" customHeight="1" x14ac:dyDescent="0.35">
      <c r="A735" s="339"/>
      <c r="B735" s="339"/>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row>
    <row r="736" spans="1:26" ht="15.75" customHeight="1" x14ac:dyDescent="0.35">
      <c r="A736" s="339"/>
      <c r="B736" s="339"/>
      <c r="C736" s="339"/>
      <c r="D736" s="339"/>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row>
    <row r="737" spans="1:26" ht="15.75" customHeight="1" x14ac:dyDescent="0.35">
      <c r="A737" s="339"/>
      <c r="B737" s="339"/>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row>
    <row r="738" spans="1:26" ht="15.75" customHeight="1" x14ac:dyDescent="0.35">
      <c r="A738" s="339"/>
      <c r="B738" s="339"/>
      <c r="C738" s="339"/>
      <c r="D738" s="339"/>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row>
    <row r="739" spans="1:26" ht="15.75" customHeight="1" x14ac:dyDescent="0.35">
      <c r="A739" s="339"/>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row>
    <row r="740" spans="1:26" ht="15.75" customHeight="1" x14ac:dyDescent="0.35">
      <c r="A740" s="339"/>
      <c r="B740" s="339"/>
      <c r="C740" s="339"/>
      <c r="D740" s="339"/>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row>
    <row r="741" spans="1:26" ht="15.75" customHeight="1" x14ac:dyDescent="0.35">
      <c r="A741" s="339"/>
      <c r="B741" s="339"/>
      <c r="C741" s="339"/>
      <c r="D741" s="339"/>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row>
    <row r="742" spans="1:26" ht="15.75" customHeight="1" x14ac:dyDescent="0.35">
      <c r="A742" s="339"/>
      <c r="B742" s="339"/>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row>
    <row r="743" spans="1:26" ht="15.75" customHeight="1" x14ac:dyDescent="0.35">
      <c r="A743" s="339"/>
      <c r="B743" s="339"/>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row>
    <row r="744" spans="1:26" ht="15.75" customHeight="1" x14ac:dyDescent="0.35">
      <c r="A744" s="339"/>
      <c r="B744" s="339"/>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row>
    <row r="745" spans="1:26" ht="15.75" customHeight="1" x14ac:dyDescent="0.35">
      <c r="A745" s="339"/>
      <c r="B745" s="339"/>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row>
    <row r="746" spans="1:26" ht="15.75" customHeight="1" x14ac:dyDescent="0.35">
      <c r="A746" s="339"/>
      <c r="B746" s="339"/>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row>
    <row r="747" spans="1:26" ht="15.75" customHeight="1" x14ac:dyDescent="0.35">
      <c r="A747" s="339"/>
      <c r="B747" s="339"/>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row>
    <row r="748" spans="1:26" ht="15.75" customHeight="1" x14ac:dyDescent="0.35">
      <c r="A748" s="339"/>
      <c r="B748" s="339"/>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row>
    <row r="749" spans="1:26" ht="15.75" customHeight="1" x14ac:dyDescent="0.35">
      <c r="A749" s="339"/>
      <c r="B749" s="339"/>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row>
    <row r="750" spans="1:26" ht="15.75" customHeight="1" x14ac:dyDescent="0.35">
      <c r="A750" s="339"/>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row>
    <row r="751" spans="1:26" ht="15.75" customHeight="1" x14ac:dyDescent="0.35">
      <c r="A751" s="339"/>
      <c r="B751" s="339"/>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row>
    <row r="752" spans="1:26" ht="15.75" customHeight="1" x14ac:dyDescent="0.35">
      <c r="A752" s="339"/>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row>
    <row r="753" spans="1:26" ht="15.75" customHeight="1" x14ac:dyDescent="0.35">
      <c r="A753" s="339"/>
      <c r="B753" s="339"/>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row>
    <row r="754" spans="1:26" ht="15.75" customHeight="1" x14ac:dyDescent="0.35">
      <c r="A754" s="339"/>
      <c r="B754" s="339"/>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row>
    <row r="755" spans="1:26" ht="15.75" customHeight="1" x14ac:dyDescent="0.35">
      <c r="A755" s="339"/>
      <c r="B755" s="339"/>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row>
    <row r="756" spans="1:26" ht="15.75" customHeight="1" x14ac:dyDescent="0.35">
      <c r="A756" s="339"/>
      <c r="B756" s="339"/>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row>
    <row r="757" spans="1:26" ht="15.75" customHeight="1" x14ac:dyDescent="0.35">
      <c r="A757" s="339"/>
      <c r="B757" s="339"/>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row>
    <row r="758" spans="1:26" ht="15.75" customHeight="1" x14ac:dyDescent="0.35">
      <c r="A758" s="339"/>
      <c r="B758" s="339"/>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row>
    <row r="759" spans="1:26" ht="15.75" customHeight="1" x14ac:dyDescent="0.35">
      <c r="A759" s="339"/>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row>
    <row r="760" spans="1:26" ht="15.75" customHeight="1" x14ac:dyDescent="0.35">
      <c r="A760" s="339"/>
      <c r="B760" s="339"/>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row>
    <row r="761" spans="1:26" ht="15.75" customHeight="1" x14ac:dyDescent="0.35">
      <c r="A761" s="339"/>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row>
    <row r="762" spans="1:26" ht="15.75" customHeight="1" x14ac:dyDescent="0.35">
      <c r="A762" s="339"/>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row>
    <row r="763" spans="1:26" ht="15.75" customHeight="1" x14ac:dyDescent="0.35">
      <c r="A763" s="339"/>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row>
    <row r="764" spans="1:26" ht="15.75" customHeight="1" x14ac:dyDescent="0.35">
      <c r="A764" s="339"/>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row>
    <row r="765" spans="1:26" ht="15.75" customHeight="1" x14ac:dyDescent="0.35">
      <c r="A765" s="339"/>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row>
    <row r="766" spans="1:26" ht="15.75" customHeight="1" x14ac:dyDescent="0.35">
      <c r="A766" s="339"/>
      <c r="B766" s="339"/>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row>
    <row r="767" spans="1:26" ht="15.75" customHeight="1" x14ac:dyDescent="0.35">
      <c r="A767" s="339"/>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row>
    <row r="768" spans="1:26" ht="15.75" customHeight="1" x14ac:dyDescent="0.35">
      <c r="A768" s="339"/>
      <c r="B768" s="339"/>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row>
    <row r="769" spans="1:26" ht="15.75" customHeight="1" x14ac:dyDescent="0.35">
      <c r="A769" s="339"/>
      <c r="B769" s="339"/>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row>
    <row r="770" spans="1:26" ht="15.75" customHeight="1" x14ac:dyDescent="0.35">
      <c r="A770" s="339"/>
      <c r="B770" s="339"/>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row>
    <row r="771" spans="1:26" ht="15.75" customHeight="1" x14ac:dyDescent="0.35">
      <c r="A771" s="339"/>
      <c r="B771" s="339"/>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row>
    <row r="772" spans="1:26" ht="15.75" customHeight="1" x14ac:dyDescent="0.35">
      <c r="A772" s="339"/>
      <c r="B772" s="339"/>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row>
    <row r="773" spans="1:26" ht="15.75" customHeight="1" x14ac:dyDescent="0.35">
      <c r="A773" s="339"/>
      <c r="B773" s="339"/>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row>
    <row r="774" spans="1:26" ht="15.75" customHeight="1" x14ac:dyDescent="0.35">
      <c r="A774" s="339"/>
      <c r="B774" s="339"/>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row>
    <row r="775" spans="1:26" ht="15.75" customHeight="1" x14ac:dyDescent="0.35">
      <c r="A775" s="339"/>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row>
    <row r="776" spans="1:26" ht="15.75" customHeight="1" x14ac:dyDescent="0.35">
      <c r="A776" s="339"/>
      <c r="B776" s="339"/>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row>
    <row r="777" spans="1:26" ht="15.75" customHeight="1" x14ac:dyDescent="0.35">
      <c r="A777" s="339"/>
      <c r="B777" s="339"/>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row>
    <row r="778" spans="1:26" ht="15.75" customHeight="1" x14ac:dyDescent="0.35">
      <c r="A778" s="339"/>
      <c r="B778" s="339"/>
      <c r="C778" s="339"/>
      <c r="D778" s="339"/>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row>
    <row r="779" spans="1:26" ht="15.75" customHeight="1" x14ac:dyDescent="0.35">
      <c r="A779" s="339"/>
      <c r="B779" s="339"/>
      <c r="C779" s="339"/>
      <c r="D779" s="339"/>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row>
    <row r="780" spans="1:26" ht="15.75" customHeight="1" x14ac:dyDescent="0.35">
      <c r="A780" s="339"/>
      <c r="B780" s="339"/>
      <c r="C780" s="339"/>
      <c r="D780" s="339"/>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row>
    <row r="781" spans="1:26" ht="15.75" customHeight="1" x14ac:dyDescent="0.35">
      <c r="A781" s="339"/>
      <c r="B781" s="339"/>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row>
    <row r="782" spans="1:26" ht="15.75" customHeight="1" x14ac:dyDescent="0.35">
      <c r="A782" s="339"/>
      <c r="B782" s="339"/>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row>
    <row r="783" spans="1:26" ht="15.75" customHeight="1" x14ac:dyDescent="0.35">
      <c r="A783" s="339"/>
      <c r="B783" s="339"/>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row>
    <row r="784" spans="1:26" ht="15.75" customHeight="1" x14ac:dyDescent="0.35">
      <c r="A784" s="339"/>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row>
    <row r="785" spans="1:26" ht="15.75" customHeight="1" x14ac:dyDescent="0.35">
      <c r="A785" s="339"/>
      <c r="B785" s="339"/>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row>
    <row r="786" spans="1:26" ht="15.75" customHeight="1" x14ac:dyDescent="0.35">
      <c r="A786" s="339"/>
      <c r="B786" s="339"/>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row>
    <row r="787" spans="1:26" ht="15.75" customHeight="1" x14ac:dyDescent="0.35">
      <c r="A787" s="339"/>
      <c r="B787" s="339"/>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row>
    <row r="788" spans="1:26" ht="15.75" customHeight="1" x14ac:dyDescent="0.35">
      <c r="A788" s="339"/>
      <c r="B788" s="339"/>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row>
    <row r="789" spans="1:26" ht="15.75" customHeight="1" x14ac:dyDescent="0.35">
      <c r="A789" s="339"/>
      <c r="B789" s="339"/>
      <c r="C789" s="339"/>
      <c r="D789" s="339"/>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row>
    <row r="790" spans="1:26" ht="15.75" customHeight="1" x14ac:dyDescent="0.35">
      <c r="A790" s="339"/>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row>
    <row r="791" spans="1:26" ht="15.75" customHeight="1" x14ac:dyDescent="0.35">
      <c r="A791" s="339"/>
      <c r="B791" s="339"/>
      <c r="C791" s="339"/>
      <c r="D791" s="339"/>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row>
    <row r="792" spans="1:26" ht="15.75" customHeight="1" x14ac:dyDescent="0.35">
      <c r="A792" s="339"/>
      <c r="B792" s="339"/>
      <c r="C792" s="339"/>
      <c r="D792" s="339"/>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row>
    <row r="793" spans="1:26" ht="15.75" customHeight="1" x14ac:dyDescent="0.35">
      <c r="A793" s="339"/>
      <c r="B793" s="339"/>
      <c r="C793" s="339"/>
      <c r="D793" s="339"/>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row>
    <row r="794" spans="1:26" ht="15.75" customHeight="1" x14ac:dyDescent="0.35">
      <c r="A794" s="339"/>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row>
    <row r="795" spans="1:26" ht="15.75" customHeight="1" x14ac:dyDescent="0.35">
      <c r="A795" s="339"/>
      <c r="B795" s="339"/>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row>
    <row r="796" spans="1:26" ht="15.75" customHeight="1" x14ac:dyDescent="0.35">
      <c r="A796" s="339"/>
      <c r="B796" s="339"/>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row>
    <row r="797" spans="1:26" ht="15.75" customHeight="1" x14ac:dyDescent="0.35">
      <c r="A797" s="339"/>
      <c r="B797" s="339"/>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row>
    <row r="798" spans="1:26" ht="15.75" customHeight="1" x14ac:dyDescent="0.35">
      <c r="A798" s="339"/>
      <c r="B798" s="339"/>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row>
    <row r="799" spans="1:26" ht="15.75" customHeight="1" x14ac:dyDescent="0.35">
      <c r="A799" s="339"/>
      <c r="B799" s="339"/>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row>
    <row r="800" spans="1:26" ht="15.75" customHeight="1" x14ac:dyDescent="0.35">
      <c r="A800" s="339"/>
      <c r="B800" s="339"/>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row>
    <row r="801" spans="1:26" ht="15.75" customHeight="1" x14ac:dyDescent="0.35">
      <c r="A801" s="339"/>
      <c r="B801" s="339"/>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row>
    <row r="802" spans="1:26" ht="15.75" customHeight="1" x14ac:dyDescent="0.35">
      <c r="A802" s="339"/>
      <c r="B802" s="339"/>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row>
    <row r="803" spans="1:26" ht="15.75" customHeight="1" x14ac:dyDescent="0.35">
      <c r="A803" s="339"/>
      <c r="B803" s="339"/>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row>
    <row r="804" spans="1:26" ht="15.75" customHeight="1" x14ac:dyDescent="0.35">
      <c r="A804" s="339"/>
      <c r="B804" s="339"/>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row>
    <row r="805" spans="1:26" ht="15.75" customHeight="1" x14ac:dyDescent="0.35">
      <c r="A805" s="339"/>
      <c r="B805" s="339"/>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row>
    <row r="806" spans="1:26" ht="15.75" customHeight="1" x14ac:dyDescent="0.35">
      <c r="A806" s="339"/>
      <c r="B806" s="339"/>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row>
    <row r="807" spans="1:26" ht="15.75" customHeight="1" x14ac:dyDescent="0.35">
      <c r="A807" s="339"/>
      <c r="B807" s="339"/>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row>
    <row r="808" spans="1:26" ht="15.75" customHeight="1" x14ac:dyDescent="0.35">
      <c r="A808" s="339"/>
      <c r="B808" s="339"/>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row>
    <row r="809" spans="1:26" ht="15.75" customHeight="1" x14ac:dyDescent="0.35">
      <c r="A809" s="339"/>
      <c r="B809" s="339"/>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row>
    <row r="810" spans="1:26" ht="15.75" customHeight="1" x14ac:dyDescent="0.35">
      <c r="A810" s="339"/>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row>
    <row r="811" spans="1:26" ht="15.75" customHeight="1" x14ac:dyDescent="0.35">
      <c r="A811" s="339"/>
      <c r="B811" s="339"/>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row>
    <row r="812" spans="1:26" ht="15.75" customHeight="1" x14ac:dyDescent="0.35">
      <c r="A812" s="339"/>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row>
    <row r="813" spans="1:26" ht="15.75" customHeight="1" x14ac:dyDescent="0.35">
      <c r="A813" s="339"/>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row>
    <row r="814" spans="1:26" ht="15.75" customHeight="1" x14ac:dyDescent="0.35">
      <c r="A814" s="339"/>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row>
    <row r="815" spans="1:26" ht="15.75" customHeight="1" x14ac:dyDescent="0.35">
      <c r="A815" s="339"/>
      <c r="B815" s="339"/>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row>
    <row r="816" spans="1:26" ht="15.75" customHeight="1" x14ac:dyDescent="0.35">
      <c r="A816" s="339"/>
      <c r="B816" s="339"/>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row>
    <row r="817" spans="1:26" ht="15.75" customHeight="1" x14ac:dyDescent="0.35">
      <c r="A817" s="339"/>
      <c r="B817" s="339"/>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row>
    <row r="818" spans="1:26" ht="15.75" customHeight="1" x14ac:dyDescent="0.35">
      <c r="A818" s="339"/>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row>
    <row r="819" spans="1:26" ht="15.75" customHeight="1" x14ac:dyDescent="0.35">
      <c r="A819" s="339"/>
      <c r="B819" s="339"/>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row>
    <row r="820" spans="1:26" ht="15.75" customHeight="1" x14ac:dyDescent="0.35">
      <c r="A820" s="339"/>
      <c r="B820" s="339"/>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row>
    <row r="821" spans="1:26" ht="15.75" customHeight="1" x14ac:dyDescent="0.35">
      <c r="A821" s="339"/>
      <c r="B821" s="339"/>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row>
    <row r="822" spans="1:26" ht="15.75" customHeight="1" x14ac:dyDescent="0.35">
      <c r="A822" s="339"/>
      <c r="B822" s="339"/>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row>
    <row r="823" spans="1:26" ht="15.75" customHeight="1" x14ac:dyDescent="0.35">
      <c r="A823" s="339"/>
      <c r="B823" s="339"/>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row>
    <row r="824" spans="1:26" ht="15.75" customHeight="1" x14ac:dyDescent="0.35">
      <c r="A824" s="339"/>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row>
    <row r="825" spans="1:26" ht="15.75" customHeight="1" x14ac:dyDescent="0.35">
      <c r="A825" s="339"/>
      <c r="B825" s="339"/>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row>
    <row r="826" spans="1:26" ht="15.75" customHeight="1" x14ac:dyDescent="0.35">
      <c r="A826" s="339"/>
      <c r="B826" s="339"/>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row>
    <row r="827" spans="1:26" ht="15.75" customHeight="1" x14ac:dyDescent="0.35">
      <c r="A827" s="339"/>
      <c r="B827" s="339"/>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row>
    <row r="828" spans="1:26" ht="15.75" customHeight="1" x14ac:dyDescent="0.35">
      <c r="A828" s="339"/>
      <c r="B828" s="339"/>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row>
    <row r="829" spans="1:26" ht="15.75" customHeight="1" x14ac:dyDescent="0.35">
      <c r="A829" s="339"/>
      <c r="B829" s="339"/>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row>
    <row r="830" spans="1:26" ht="15.75" customHeight="1" x14ac:dyDescent="0.35">
      <c r="A830" s="339"/>
      <c r="B830" s="339"/>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row>
    <row r="831" spans="1:26" ht="15.75" customHeight="1" x14ac:dyDescent="0.35">
      <c r="A831" s="339"/>
      <c r="B831" s="339"/>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row>
    <row r="832" spans="1:26" ht="15.75" customHeight="1" x14ac:dyDescent="0.35">
      <c r="A832" s="339"/>
      <c r="B832" s="339"/>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row>
    <row r="833" spans="1:26" ht="15.75" customHeight="1" x14ac:dyDescent="0.35">
      <c r="A833" s="339"/>
      <c r="B833" s="339"/>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row>
    <row r="834" spans="1:26" ht="15.75" customHeight="1" x14ac:dyDescent="0.35">
      <c r="A834" s="339"/>
      <c r="B834" s="339"/>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row>
    <row r="835" spans="1:26" ht="15.75" customHeight="1" x14ac:dyDescent="0.35">
      <c r="A835" s="339"/>
      <c r="B835" s="339"/>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row>
    <row r="836" spans="1:26" ht="15.75" customHeight="1" x14ac:dyDescent="0.35">
      <c r="A836" s="339"/>
      <c r="B836" s="339"/>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row>
    <row r="837" spans="1:26" ht="15.75" customHeight="1" x14ac:dyDescent="0.35">
      <c r="A837" s="339"/>
      <c r="B837" s="339"/>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row>
    <row r="838" spans="1:26" ht="15.75" customHeight="1" x14ac:dyDescent="0.35">
      <c r="A838" s="339"/>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row>
    <row r="839" spans="1:26" ht="15.75" customHeight="1" x14ac:dyDescent="0.35">
      <c r="A839" s="339"/>
      <c r="B839" s="339"/>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row>
    <row r="840" spans="1:26" ht="15.75" customHeight="1" x14ac:dyDescent="0.35">
      <c r="A840" s="339"/>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row>
    <row r="841" spans="1:26" ht="15.75" customHeight="1" x14ac:dyDescent="0.35">
      <c r="A841" s="339"/>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row>
    <row r="842" spans="1:26" ht="15.75" customHeight="1" x14ac:dyDescent="0.35">
      <c r="A842" s="339"/>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row>
    <row r="843" spans="1:26" ht="15.75" customHeight="1" x14ac:dyDescent="0.35">
      <c r="A843" s="339"/>
      <c r="B843" s="339"/>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row>
    <row r="844" spans="1:26" ht="15.75" customHeight="1" x14ac:dyDescent="0.35">
      <c r="A844" s="339"/>
      <c r="B844" s="339"/>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row>
    <row r="845" spans="1:26" ht="15.75" customHeight="1" x14ac:dyDescent="0.35">
      <c r="A845" s="339"/>
      <c r="B845" s="339"/>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row>
    <row r="846" spans="1:26" ht="15.75" customHeight="1" x14ac:dyDescent="0.35">
      <c r="A846" s="339"/>
      <c r="B846" s="339"/>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row>
    <row r="847" spans="1:26" ht="15.75" customHeight="1" x14ac:dyDescent="0.35">
      <c r="A847" s="339"/>
      <c r="B847" s="339"/>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row>
    <row r="848" spans="1:26" ht="15.75" customHeight="1" x14ac:dyDescent="0.35">
      <c r="A848" s="339"/>
      <c r="B848" s="339"/>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row>
    <row r="849" spans="1:26" ht="15.75" customHeight="1" x14ac:dyDescent="0.35">
      <c r="A849" s="339"/>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row>
    <row r="850" spans="1:26" ht="15.75" customHeight="1" x14ac:dyDescent="0.35">
      <c r="A850" s="339"/>
      <c r="B850" s="339"/>
      <c r="C850" s="339"/>
      <c r="D850" s="339"/>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row>
    <row r="851" spans="1:26" ht="15.75" customHeight="1" x14ac:dyDescent="0.35">
      <c r="A851" s="339"/>
      <c r="B851" s="339"/>
      <c r="C851" s="339"/>
      <c r="D851" s="339"/>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row>
    <row r="852" spans="1:26" ht="15.75" customHeight="1" x14ac:dyDescent="0.35">
      <c r="A852" s="339"/>
      <c r="B852" s="339"/>
      <c r="C852" s="339"/>
      <c r="D852" s="339"/>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row>
    <row r="853" spans="1:26" ht="15.75" customHeight="1" x14ac:dyDescent="0.35">
      <c r="A853" s="339"/>
      <c r="B853" s="339"/>
      <c r="C853" s="339"/>
      <c r="D853" s="339"/>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row>
    <row r="854" spans="1:26" ht="15.75" customHeight="1" x14ac:dyDescent="0.35">
      <c r="A854" s="339"/>
      <c r="B854" s="339"/>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row>
    <row r="855" spans="1:26" ht="15.75" customHeight="1" x14ac:dyDescent="0.35">
      <c r="A855" s="339"/>
      <c r="B855" s="339"/>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row>
    <row r="856" spans="1:26" ht="15.75" customHeight="1" x14ac:dyDescent="0.35">
      <c r="A856" s="339"/>
      <c r="B856" s="339"/>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row>
    <row r="857" spans="1:26" ht="15.75" customHeight="1" x14ac:dyDescent="0.35">
      <c r="A857" s="339"/>
      <c r="B857" s="339"/>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row>
    <row r="858" spans="1:26" ht="15.75" customHeight="1" x14ac:dyDescent="0.35">
      <c r="A858" s="339"/>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row>
    <row r="859" spans="1:26" ht="15.75" customHeight="1" x14ac:dyDescent="0.35">
      <c r="A859" s="339"/>
      <c r="B859" s="339"/>
      <c r="C859" s="339"/>
      <c r="D859" s="339"/>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row>
    <row r="860" spans="1:26" ht="15.75" customHeight="1" x14ac:dyDescent="0.35">
      <c r="A860" s="339"/>
      <c r="B860" s="339"/>
      <c r="C860" s="339"/>
      <c r="D860" s="339"/>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row>
    <row r="861" spans="1:26" ht="15.75" customHeight="1" x14ac:dyDescent="0.35">
      <c r="A861" s="339"/>
      <c r="B861" s="339"/>
      <c r="C861" s="339"/>
      <c r="D861" s="339"/>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row>
    <row r="862" spans="1:26" ht="15.75" customHeight="1" x14ac:dyDescent="0.35">
      <c r="A862" s="339"/>
      <c r="B862" s="339"/>
      <c r="C862" s="339"/>
      <c r="D862" s="339"/>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row>
    <row r="863" spans="1:26" ht="15.75" customHeight="1" x14ac:dyDescent="0.35">
      <c r="A863" s="339"/>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row>
    <row r="864" spans="1:26" ht="15.75" customHeight="1" x14ac:dyDescent="0.35">
      <c r="A864" s="339"/>
      <c r="B864" s="339"/>
      <c r="C864" s="339"/>
      <c r="D864" s="339"/>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row>
    <row r="865" spans="1:26" ht="15.75" customHeight="1" x14ac:dyDescent="0.35">
      <c r="A865" s="339"/>
      <c r="B865" s="339"/>
      <c r="C865" s="339"/>
      <c r="D865" s="339"/>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row>
    <row r="866" spans="1:26" ht="15.75" customHeight="1" x14ac:dyDescent="0.35">
      <c r="A866" s="339"/>
      <c r="B866" s="339"/>
      <c r="C866" s="339"/>
      <c r="D866" s="339"/>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row>
    <row r="867" spans="1:26" ht="15.75" customHeight="1" x14ac:dyDescent="0.35">
      <c r="A867" s="339"/>
      <c r="B867" s="339"/>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row>
    <row r="868" spans="1:26" ht="15.75" customHeight="1" x14ac:dyDescent="0.35">
      <c r="A868" s="339"/>
      <c r="B868" s="339"/>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row>
    <row r="869" spans="1:26" ht="15.75" customHeight="1" x14ac:dyDescent="0.35">
      <c r="A869" s="339"/>
      <c r="B869" s="339"/>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row>
    <row r="870" spans="1:26" ht="15.75" customHeight="1" x14ac:dyDescent="0.35">
      <c r="A870" s="339"/>
      <c r="B870" s="339"/>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row>
    <row r="871" spans="1:26" ht="15.75" customHeight="1" x14ac:dyDescent="0.35">
      <c r="A871" s="339"/>
      <c r="B871" s="339"/>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row>
    <row r="872" spans="1:26" ht="15.75" customHeight="1" x14ac:dyDescent="0.35">
      <c r="A872" s="339"/>
      <c r="B872" s="339"/>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row>
    <row r="873" spans="1:26" ht="15.75" customHeight="1" x14ac:dyDescent="0.35">
      <c r="A873" s="339"/>
      <c r="B873" s="339"/>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row>
    <row r="874" spans="1:26" ht="15.75" customHeight="1" x14ac:dyDescent="0.35">
      <c r="A874" s="339"/>
      <c r="B874" s="339"/>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row>
    <row r="875" spans="1:26" ht="15.75" customHeight="1" x14ac:dyDescent="0.35">
      <c r="A875" s="339"/>
      <c r="B875" s="339"/>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row>
    <row r="876" spans="1:26" ht="15.75" customHeight="1" x14ac:dyDescent="0.35">
      <c r="A876" s="339"/>
      <c r="B876" s="339"/>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row>
    <row r="877" spans="1:26" ht="15.75" customHeight="1" x14ac:dyDescent="0.35">
      <c r="A877" s="339"/>
      <c r="B877" s="339"/>
      <c r="C877" s="339"/>
      <c r="D877" s="339"/>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row>
    <row r="878" spans="1:26" ht="15.75" customHeight="1" x14ac:dyDescent="0.35">
      <c r="A878" s="339"/>
      <c r="B878" s="339"/>
      <c r="C878" s="339"/>
      <c r="D878" s="339"/>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row>
    <row r="879" spans="1:26" ht="15.75" customHeight="1" x14ac:dyDescent="0.35">
      <c r="A879" s="339"/>
      <c r="B879" s="339"/>
      <c r="C879" s="339"/>
      <c r="D879" s="339"/>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row>
    <row r="880" spans="1:26" ht="15.75" customHeight="1" x14ac:dyDescent="0.35">
      <c r="A880" s="339"/>
      <c r="B880" s="339"/>
      <c r="C880" s="339"/>
      <c r="D880" s="339"/>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row>
    <row r="881" spans="1:26" ht="15.75" customHeight="1" x14ac:dyDescent="0.35">
      <c r="A881" s="339"/>
      <c r="B881" s="339"/>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row>
    <row r="882" spans="1:26" ht="15.75" customHeight="1" x14ac:dyDescent="0.35">
      <c r="A882" s="339"/>
      <c r="B882" s="339"/>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row>
    <row r="883" spans="1:26" ht="15.75" customHeight="1" x14ac:dyDescent="0.35">
      <c r="A883" s="339"/>
      <c r="B883" s="339"/>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row>
    <row r="884" spans="1:26" ht="15.75" customHeight="1" x14ac:dyDescent="0.35">
      <c r="A884" s="339"/>
      <c r="B884" s="339"/>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row>
    <row r="885" spans="1:26" ht="15.75" customHeight="1" x14ac:dyDescent="0.35">
      <c r="A885" s="339"/>
      <c r="B885" s="339"/>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row>
    <row r="886" spans="1:26" ht="15.75" customHeight="1" x14ac:dyDescent="0.35">
      <c r="A886" s="339"/>
      <c r="B886" s="339"/>
      <c r="C886" s="339"/>
      <c r="D886" s="339"/>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row>
    <row r="887" spans="1:26" ht="15.75" customHeight="1" x14ac:dyDescent="0.35">
      <c r="A887" s="339"/>
      <c r="B887" s="339"/>
      <c r="C887" s="339"/>
      <c r="D887" s="339"/>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row>
    <row r="888" spans="1:26" ht="15.75" customHeight="1" x14ac:dyDescent="0.35">
      <c r="A888" s="339"/>
      <c r="B888" s="339"/>
      <c r="C888" s="339"/>
      <c r="D888" s="339"/>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row>
    <row r="889" spans="1:26" ht="15.75" customHeight="1" x14ac:dyDescent="0.35">
      <c r="A889" s="339"/>
      <c r="B889" s="339"/>
      <c r="C889" s="339"/>
      <c r="D889" s="339"/>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row>
    <row r="890" spans="1:26" ht="15.75" customHeight="1" x14ac:dyDescent="0.35">
      <c r="A890" s="339"/>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row>
    <row r="891" spans="1:26" ht="15.75" customHeight="1" x14ac:dyDescent="0.35">
      <c r="A891" s="339"/>
      <c r="B891" s="339"/>
      <c r="C891" s="339"/>
      <c r="D891" s="339"/>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row>
    <row r="892" spans="1:26" ht="15.75" customHeight="1" x14ac:dyDescent="0.35">
      <c r="A892" s="339"/>
      <c r="B892" s="339"/>
      <c r="C892" s="339"/>
      <c r="D892" s="339"/>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row>
    <row r="893" spans="1:26" ht="15.75" customHeight="1" x14ac:dyDescent="0.35">
      <c r="A893" s="339"/>
      <c r="B893" s="339"/>
      <c r="C893" s="339"/>
      <c r="D893" s="339"/>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row>
    <row r="894" spans="1:26" ht="15.75" customHeight="1" x14ac:dyDescent="0.35">
      <c r="A894" s="339"/>
      <c r="B894" s="339"/>
      <c r="C894" s="339"/>
      <c r="D894" s="339"/>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row>
    <row r="895" spans="1:26" ht="15.75" customHeight="1" x14ac:dyDescent="0.35">
      <c r="A895" s="339"/>
      <c r="B895" s="339"/>
      <c r="C895" s="339"/>
      <c r="D895" s="339"/>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row>
    <row r="896" spans="1:26" ht="15.75" customHeight="1" x14ac:dyDescent="0.35">
      <c r="A896" s="339"/>
      <c r="B896" s="339"/>
      <c r="C896" s="339"/>
      <c r="D896" s="339"/>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row>
    <row r="897" spans="1:26" ht="15.75" customHeight="1" x14ac:dyDescent="0.35">
      <c r="A897" s="339"/>
      <c r="B897" s="339"/>
      <c r="C897" s="339"/>
      <c r="D897" s="339"/>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row>
    <row r="898" spans="1:26" ht="15.75" customHeight="1" x14ac:dyDescent="0.35">
      <c r="A898" s="339"/>
      <c r="B898" s="339"/>
      <c r="C898" s="339"/>
      <c r="D898" s="339"/>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row>
    <row r="899" spans="1:26" ht="15.75" customHeight="1" x14ac:dyDescent="0.35">
      <c r="A899" s="339"/>
      <c r="B899" s="339"/>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row>
    <row r="900" spans="1:26" ht="15.75" customHeight="1" x14ac:dyDescent="0.35">
      <c r="A900" s="339"/>
      <c r="B900" s="339"/>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row>
    <row r="901" spans="1:26" ht="15.75" customHeight="1" x14ac:dyDescent="0.35">
      <c r="A901" s="339"/>
      <c r="B901" s="339"/>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row>
    <row r="902" spans="1:26" ht="15.75" customHeight="1" x14ac:dyDescent="0.35">
      <c r="A902" s="339"/>
      <c r="B902" s="339"/>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row>
    <row r="903" spans="1:26" ht="15.75" customHeight="1" x14ac:dyDescent="0.35">
      <c r="A903" s="339"/>
      <c r="B903" s="339"/>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row>
    <row r="904" spans="1:26" ht="15.75" customHeight="1" x14ac:dyDescent="0.35">
      <c r="A904" s="339"/>
      <c r="B904" s="339"/>
      <c r="C904" s="339"/>
      <c r="D904" s="339"/>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row>
    <row r="905" spans="1:26" ht="15.75" customHeight="1" x14ac:dyDescent="0.35">
      <c r="A905" s="339"/>
      <c r="B905" s="339"/>
      <c r="C905" s="339"/>
      <c r="D905" s="339"/>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row>
    <row r="906" spans="1:26" ht="15.75" customHeight="1" x14ac:dyDescent="0.35">
      <c r="A906" s="339"/>
      <c r="B906" s="339"/>
      <c r="C906" s="339"/>
      <c r="D906" s="339"/>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row>
    <row r="907" spans="1:26" ht="15.75" customHeight="1" x14ac:dyDescent="0.35">
      <c r="A907" s="339"/>
      <c r="B907" s="339"/>
      <c r="C907" s="339"/>
      <c r="D907" s="339"/>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row>
    <row r="908" spans="1:26" ht="15.75" customHeight="1" x14ac:dyDescent="0.35">
      <c r="A908" s="339"/>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row>
    <row r="909" spans="1:26" ht="15.75" customHeight="1" x14ac:dyDescent="0.35">
      <c r="A909" s="339"/>
      <c r="B909" s="339"/>
      <c r="C909" s="339"/>
      <c r="D909" s="339"/>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row>
    <row r="910" spans="1:26" ht="15.75" customHeight="1" x14ac:dyDescent="0.35">
      <c r="A910" s="339"/>
      <c r="B910" s="339"/>
      <c r="C910" s="339"/>
      <c r="D910" s="339"/>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row>
    <row r="911" spans="1:26" ht="15.75" customHeight="1" x14ac:dyDescent="0.35">
      <c r="A911" s="339"/>
      <c r="B911" s="339"/>
      <c r="C911" s="339"/>
      <c r="D911" s="339"/>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row>
    <row r="912" spans="1:26" ht="15.75" customHeight="1" x14ac:dyDescent="0.35">
      <c r="A912" s="339"/>
      <c r="B912" s="339"/>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row>
    <row r="913" spans="1:26" ht="15.75" customHeight="1" x14ac:dyDescent="0.35">
      <c r="A913" s="339"/>
      <c r="B913" s="339"/>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row>
    <row r="914" spans="1:26" ht="15.75" customHeight="1" x14ac:dyDescent="0.35">
      <c r="A914" s="339"/>
      <c r="B914" s="339"/>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row>
    <row r="915" spans="1:26" ht="15.75" customHeight="1" x14ac:dyDescent="0.35">
      <c r="A915" s="339"/>
      <c r="B915" s="339"/>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row>
    <row r="916" spans="1:26" ht="15.75" customHeight="1" x14ac:dyDescent="0.35">
      <c r="A916" s="339"/>
      <c r="B916" s="339"/>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row>
    <row r="917" spans="1:26" ht="15.75" customHeight="1" x14ac:dyDescent="0.35">
      <c r="A917" s="339"/>
      <c r="B917" s="339"/>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row>
    <row r="918" spans="1:26" ht="15.75" customHeight="1" x14ac:dyDescent="0.35">
      <c r="A918" s="339"/>
      <c r="B918" s="339"/>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row>
    <row r="919" spans="1:26" ht="15.75" customHeight="1" x14ac:dyDescent="0.35">
      <c r="A919" s="339"/>
      <c r="B919" s="339"/>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row>
    <row r="920" spans="1:26" ht="15.75" customHeight="1" x14ac:dyDescent="0.35">
      <c r="A920" s="339"/>
      <c r="B920" s="339"/>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row>
    <row r="921" spans="1:26" ht="15.75" customHeight="1" x14ac:dyDescent="0.35">
      <c r="A921" s="339"/>
      <c r="B921" s="339"/>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row>
    <row r="922" spans="1:26" ht="15.75" customHeight="1" x14ac:dyDescent="0.35">
      <c r="A922" s="339"/>
      <c r="B922" s="339"/>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row>
    <row r="923" spans="1:26" ht="15.75" customHeight="1" x14ac:dyDescent="0.35">
      <c r="A923" s="339"/>
      <c r="B923" s="339"/>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row>
    <row r="924" spans="1:26" ht="15.75" customHeight="1" x14ac:dyDescent="0.35">
      <c r="A924" s="339"/>
      <c r="B924" s="339"/>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row>
    <row r="925" spans="1:26" ht="15.75" customHeight="1" x14ac:dyDescent="0.35">
      <c r="A925" s="339"/>
      <c r="B925" s="339"/>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row>
    <row r="926" spans="1:26" ht="15.75" customHeight="1" x14ac:dyDescent="0.35">
      <c r="A926" s="339"/>
      <c r="B926" s="339"/>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row>
    <row r="927" spans="1:26" ht="15.75" customHeight="1" x14ac:dyDescent="0.35">
      <c r="A927" s="339"/>
      <c r="B927" s="339"/>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row>
    <row r="928" spans="1:26" ht="15.75" customHeight="1" x14ac:dyDescent="0.35">
      <c r="A928" s="339"/>
      <c r="B928" s="339"/>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row>
    <row r="929" spans="1:26" ht="15.75" customHeight="1" x14ac:dyDescent="0.35">
      <c r="A929" s="339"/>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row>
    <row r="930" spans="1:26" ht="15.75" customHeight="1" x14ac:dyDescent="0.35">
      <c r="A930" s="339"/>
      <c r="B930" s="339"/>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row>
    <row r="931" spans="1:26" ht="15.75" customHeight="1" x14ac:dyDescent="0.35">
      <c r="A931" s="339"/>
      <c r="B931" s="339"/>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row>
    <row r="932" spans="1:26" ht="15.75" customHeight="1" x14ac:dyDescent="0.35">
      <c r="A932" s="339"/>
      <c r="B932" s="339"/>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row>
    <row r="933" spans="1:26" ht="15.75" customHeight="1" x14ac:dyDescent="0.35">
      <c r="A933" s="339"/>
      <c r="B933" s="339"/>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row>
    <row r="934" spans="1:26" ht="15.75" customHeight="1" x14ac:dyDescent="0.35">
      <c r="A934" s="339"/>
      <c r="B934" s="339"/>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row>
    <row r="935" spans="1:26" ht="15.75" customHeight="1" x14ac:dyDescent="0.35">
      <c r="A935" s="339"/>
      <c r="B935" s="339"/>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row>
    <row r="936" spans="1:26" ht="15.75" customHeight="1" x14ac:dyDescent="0.35">
      <c r="A936" s="339"/>
      <c r="B936" s="339"/>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row>
    <row r="937" spans="1:26" ht="15.75" customHeight="1" x14ac:dyDescent="0.35">
      <c r="A937" s="339"/>
      <c r="B937" s="339"/>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row>
    <row r="938" spans="1:26" ht="15.75" customHeight="1" x14ac:dyDescent="0.35">
      <c r="A938" s="339"/>
      <c r="B938" s="339"/>
      <c r="C938" s="339"/>
      <c r="D938" s="339"/>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row>
    <row r="939" spans="1:26" ht="15.75" customHeight="1" x14ac:dyDescent="0.35">
      <c r="A939" s="339"/>
      <c r="B939" s="339"/>
      <c r="C939" s="339"/>
      <c r="D939" s="339"/>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row>
    <row r="940" spans="1:26" ht="15.75" customHeight="1" x14ac:dyDescent="0.35">
      <c r="A940" s="339"/>
      <c r="B940" s="339"/>
      <c r="C940" s="339"/>
      <c r="D940" s="339"/>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row>
    <row r="941" spans="1:26" ht="15.75" customHeight="1" x14ac:dyDescent="0.35">
      <c r="A941" s="339"/>
      <c r="B941" s="339"/>
      <c r="C941" s="339"/>
      <c r="D941" s="339"/>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row>
    <row r="942" spans="1:26" ht="15.75" customHeight="1" x14ac:dyDescent="0.35">
      <c r="A942" s="339"/>
      <c r="B942" s="339"/>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row>
    <row r="943" spans="1:26" ht="15.75" customHeight="1" x14ac:dyDescent="0.35">
      <c r="A943" s="339"/>
      <c r="B943" s="339"/>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row>
    <row r="944" spans="1:26" ht="15.75" customHeight="1" x14ac:dyDescent="0.35">
      <c r="A944" s="339"/>
      <c r="B944" s="339"/>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row>
    <row r="945" spans="1:26" ht="15.75" customHeight="1" x14ac:dyDescent="0.35">
      <c r="A945" s="339"/>
      <c r="B945" s="339"/>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row>
    <row r="946" spans="1:26" ht="15.75" customHeight="1" x14ac:dyDescent="0.35">
      <c r="A946" s="339"/>
      <c r="B946" s="339"/>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row>
    <row r="947" spans="1:26" ht="15.75" customHeight="1" x14ac:dyDescent="0.35">
      <c r="A947" s="339"/>
      <c r="B947" s="339"/>
      <c r="C947" s="339"/>
      <c r="D947" s="339"/>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row>
    <row r="948" spans="1:26" ht="15.75" customHeight="1" x14ac:dyDescent="0.35">
      <c r="A948" s="339"/>
      <c r="B948" s="339"/>
      <c r="C948" s="339"/>
      <c r="D948" s="339"/>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row>
    <row r="949" spans="1:26" ht="15.75" customHeight="1" x14ac:dyDescent="0.35">
      <c r="A949" s="339"/>
      <c r="B949" s="339"/>
      <c r="C949" s="339"/>
      <c r="D949" s="339"/>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row>
    <row r="950" spans="1:26" ht="15.75" customHeight="1" x14ac:dyDescent="0.35">
      <c r="A950" s="339"/>
      <c r="B950" s="339"/>
      <c r="C950" s="339"/>
      <c r="D950" s="339"/>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row>
    <row r="951" spans="1:26" ht="15.75" customHeight="1" x14ac:dyDescent="0.35">
      <c r="A951" s="339"/>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row>
    <row r="952" spans="1:26" ht="15.75" customHeight="1" x14ac:dyDescent="0.35">
      <c r="A952" s="339"/>
      <c r="B952" s="339"/>
      <c r="C952" s="339"/>
      <c r="D952" s="339"/>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row>
    <row r="953" spans="1:26" ht="15.75" customHeight="1" x14ac:dyDescent="0.35">
      <c r="A953" s="339"/>
      <c r="B953" s="339"/>
      <c r="C953" s="339"/>
      <c r="D953" s="339"/>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row>
    <row r="954" spans="1:26" ht="15.75" customHeight="1" x14ac:dyDescent="0.35">
      <c r="A954" s="339"/>
      <c r="B954" s="339"/>
      <c r="C954" s="339"/>
      <c r="D954" s="339"/>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row>
    <row r="955" spans="1:26" ht="15.75" customHeight="1" x14ac:dyDescent="0.35">
      <c r="A955" s="339"/>
      <c r="B955" s="339"/>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row>
    <row r="956" spans="1:26" ht="15.75" customHeight="1" x14ac:dyDescent="0.35">
      <c r="A956" s="339"/>
      <c r="B956" s="339"/>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row>
    <row r="957" spans="1:26" ht="15.75" customHeight="1" x14ac:dyDescent="0.35">
      <c r="A957" s="339"/>
      <c r="B957" s="339"/>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row>
    <row r="958" spans="1:26" ht="15.75" customHeight="1" x14ac:dyDescent="0.35">
      <c r="A958" s="339"/>
      <c r="B958" s="339"/>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row>
    <row r="959" spans="1:26" ht="15.75" customHeight="1" x14ac:dyDescent="0.35">
      <c r="A959" s="339"/>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row>
    <row r="960" spans="1:26" ht="15.75" customHeight="1" x14ac:dyDescent="0.35">
      <c r="A960" s="339"/>
      <c r="B960" s="339"/>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row>
    <row r="961" spans="1:26" ht="15.75" customHeight="1" x14ac:dyDescent="0.35">
      <c r="A961" s="339"/>
      <c r="B961" s="339"/>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row>
    <row r="962" spans="1:26" ht="15.75" customHeight="1" x14ac:dyDescent="0.35">
      <c r="A962" s="339"/>
      <c r="B962" s="339"/>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row>
    <row r="963" spans="1:26" ht="15.75" customHeight="1" x14ac:dyDescent="0.35">
      <c r="A963" s="339"/>
      <c r="B963" s="339"/>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row>
    <row r="964" spans="1:26" ht="15.75" customHeight="1" x14ac:dyDescent="0.35">
      <c r="A964" s="339"/>
      <c r="B964" s="339"/>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row>
    <row r="965" spans="1:26" ht="15.75" customHeight="1" x14ac:dyDescent="0.35">
      <c r="A965" s="339"/>
      <c r="B965" s="339"/>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row>
    <row r="966" spans="1:26" ht="15.75" customHeight="1" x14ac:dyDescent="0.35">
      <c r="A966" s="339"/>
      <c r="B966" s="339"/>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row>
    <row r="967" spans="1:26" ht="15.75" customHeight="1" x14ac:dyDescent="0.35">
      <c r="A967" s="339"/>
      <c r="B967" s="339"/>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row>
    <row r="968" spans="1:26" ht="15.75" customHeight="1" x14ac:dyDescent="0.35">
      <c r="A968" s="339"/>
      <c r="B968" s="339"/>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row>
    <row r="969" spans="1:26" ht="15.75" customHeight="1" x14ac:dyDescent="0.35">
      <c r="A969" s="339"/>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row>
    <row r="970" spans="1:26" ht="15.75" customHeight="1" x14ac:dyDescent="0.35">
      <c r="A970" s="339"/>
      <c r="B970" s="339"/>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row>
    <row r="971" spans="1:26" ht="15.75" customHeight="1" x14ac:dyDescent="0.35">
      <c r="A971" s="339"/>
      <c r="B971" s="339"/>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row>
    <row r="972" spans="1:26" ht="15.75" customHeight="1" x14ac:dyDescent="0.35">
      <c r="A972" s="339"/>
      <c r="B972" s="339"/>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row>
    <row r="973" spans="1:26" ht="15.75" customHeight="1" x14ac:dyDescent="0.35">
      <c r="A973" s="339"/>
      <c r="B973" s="339"/>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row>
    <row r="974" spans="1:26" ht="15.75" customHeight="1" x14ac:dyDescent="0.35">
      <c r="A974" s="339"/>
      <c r="B974" s="339"/>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row>
    <row r="975" spans="1:26" ht="15.75" customHeight="1" x14ac:dyDescent="0.35">
      <c r="A975" s="339"/>
      <c r="B975" s="339"/>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row>
    <row r="976" spans="1:26" ht="15.75" customHeight="1" x14ac:dyDescent="0.35">
      <c r="A976" s="339"/>
      <c r="B976" s="339"/>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row>
    <row r="977" spans="1:26" ht="15.75" customHeight="1" x14ac:dyDescent="0.35">
      <c r="A977" s="339"/>
      <c r="B977" s="339"/>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row>
    <row r="978" spans="1:26" ht="15.75" customHeight="1" x14ac:dyDescent="0.35">
      <c r="A978" s="339"/>
      <c r="B978" s="339"/>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row>
    <row r="979" spans="1:26" ht="15.75" customHeight="1" x14ac:dyDescent="0.35">
      <c r="A979" s="339"/>
      <c r="B979" s="339"/>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row>
    <row r="980" spans="1:26" ht="15.75" customHeight="1" x14ac:dyDescent="0.35">
      <c r="A980" s="339"/>
      <c r="B980" s="339"/>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row>
    <row r="981" spans="1:26" ht="15.75" customHeight="1" x14ac:dyDescent="0.35">
      <c r="A981" s="339"/>
      <c r="B981" s="339"/>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row>
    <row r="982" spans="1:26" ht="15.75" customHeight="1" x14ac:dyDescent="0.35">
      <c r="A982" s="339"/>
      <c r="B982" s="339"/>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row>
    <row r="983" spans="1:26" ht="15.75" customHeight="1" x14ac:dyDescent="0.35">
      <c r="A983" s="339"/>
      <c r="B983" s="339"/>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row>
    <row r="984" spans="1:26" ht="15.75" customHeight="1" x14ac:dyDescent="0.35">
      <c r="A984" s="339"/>
      <c r="B984" s="339"/>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row>
    <row r="985" spans="1:26" ht="15.75" customHeight="1" x14ac:dyDescent="0.35">
      <c r="A985" s="339"/>
      <c r="B985" s="339"/>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row>
    <row r="986" spans="1:26" ht="15.75" customHeight="1" x14ac:dyDescent="0.35">
      <c r="A986" s="339"/>
      <c r="B986" s="339"/>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row>
    <row r="987" spans="1:26" ht="15.75" customHeight="1" x14ac:dyDescent="0.35">
      <c r="A987" s="339"/>
      <c r="B987" s="339"/>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row>
    <row r="988" spans="1:26" ht="15.75" customHeight="1" x14ac:dyDescent="0.35">
      <c r="A988" s="339"/>
      <c r="B988" s="339"/>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row>
    <row r="989" spans="1:26" ht="15.75" customHeight="1" x14ac:dyDescent="0.35">
      <c r="A989" s="339"/>
      <c r="B989" s="339"/>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row>
    <row r="990" spans="1:26" ht="15.75" customHeight="1" x14ac:dyDescent="0.35">
      <c r="A990" s="339"/>
      <c r="B990" s="339"/>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row>
    <row r="991" spans="1:26" ht="15.75" customHeight="1" x14ac:dyDescent="0.35">
      <c r="A991" s="339"/>
      <c r="B991" s="339"/>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row>
    <row r="992" spans="1:26" ht="15.75" customHeight="1" x14ac:dyDescent="0.35">
      <c r="A992" s="339"/>
      <c r="B992" s="339"/>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row>
    <row r="993" spans="1:26" ht="15.75" customHeight="1" x14ac:dyDescent="0.35">
      <c r="A993" s="339"/>
      <c r="B993" s="339"/>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row>
    <row r="994" spans="1:26" ht="15.75" customHeight="1" x14ac:dyDescent="0.35">
      <c r="A994" s="339"/>
      <c r="B994" s="339"/>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row>
    <row r="995" spans="1:26" ht="15.75" customHeight="1" x14ac:dyDescent="0.35">
      <c r="A995" s="339"/>
      <c r="B995" s="339"/>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row>
    <row r="996" spans="1:26" ht="15.75" customHeight="1" x14ac:dyDescent="0.35">
      <c r="A996" s="339"/>
      <c r="B996" s="339"/>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row>
    <row r="997" spans="1:26" ht="15.75" customHeight="1" x14ac:dyDescent="0.35">
      <c r="A997" s="339"/>
      <c r="B997" s="339"/>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row>
    <row r="998" spans="1:26" ht="15.5" x14ac:dyDescent="0.35">
      <c r="A998" s="339"/>
      <c r="B998" s="339"/>
      <c r="C998" s="339"/>
      <c r="D998" s="339"/>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row>
    <row r="999" spans="1:26" ht="15.5" x14ac:dyDescent="0.35">
      <c r="A999" s="339"/>
      <c r="B999" s="339"/>
      <c r="C999" s="339"/>
      <c r="D999" s="339"/>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row>
  </sheetData>
  <mergeCells count="7">
    <mergeCell ref="E8:G8"/>
    <mergeCell ref="D43:F43"/>
    <mergeCell ref="B4:D4"/>
    <mergeCell ref="B5:D5"/>
    <mergeCell ref="B6:D6"/>
    <mergeCell ref="B7:D7"/>
    <mergeCell ref="B8:D8"/>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S1:X1000"/>
  <sheetViews>
    <sheetView workbookViewId="0"/>
  </sheetViews>
  <sheetFormatPr defaultColWidth="14.3984375" defaultRowHeight="15" customHeight="1" x14ac:dyDescent="0.3"/>
  <cols>
    <col min="1" max="18" width="8.69921875" customWidth="1"/>
    <col min="19" max="19" width="13.09765625" customWidth="1"/>
    <col min="20" max="20" width="10.8984375" customWidth="1"/>
    <col min="21" max="21" width="11.59765625" customWidth="1"/>
    <col min="22" max="22" width="16.59765625" customWidth="1"/>
    <col min="23" max="23" width="12.09765625" customWidth="1"/>
    <col min="24" max="26" width="8.69921875" customWidth="1"/>
  </cols>
  <sheetData>
    <row r="1" spans="19:24" ht="12.75" customHeight="1" x14ac:dyDescent="0.3"/>
    <row r="2" spans="19:24" ht="12.75" customHeight="1" x14ac:dyDescent="0.3"/>
    <row r="3" spans="19:24" ht="12.75" customHeight="1" x14ac:dyDescent="0.3">
      <c r="S3" s="361" t="s">
        <v>422</v>
      </c>
      <c r="T3" s="361" t="s">
        <v>63</v>
      </c>
      <c r="U3" s="361" t="s">
        <v>423</v>
      </c>
      <c r="V3" s="361" t="s">
        <v>424</v>
      </c>
      <c r="W3" s="361" t="s">
        <v>425</v>
      </c>
      <c r="X3" s="362"/>
    </row>
    <row r="4" spans="19:24" ht="12.75" customHeight="1" x14ac:dyDescent="0.3">
      <c r="S4" s="363" t="s">
        <v>426</v>
      </c>
      <c r="T4" s="363" t="s">
        <v>427</v>
      </c>
      <c r="U4" s="363" t="s">
        <v>428</v>
      </c>
      <c r="V4" s="363" t="s">
        <v>429</v>
      </c>
      <c r="W4" s="363" t="s">
        <v>430</v>
      </c>
    </row>
    <row r="5" spans="19:24" ht="12.75" customHeight="1" x14ac:dyDescent="0.3">
      <c r="S5" s="16">
        <v>8.49</v>
      </c>
      <c r="T5" s="16">
        <v>3.75</v>
      </c>
      <c r="U5" s="16">
        <v>1.51</v>
      </c>
      <c r="V5" s="16">
        <v>5.34</v>
      </c>
      <c r="W5" s="16">
        <v>0.15</v>
      </c>
    </row>
    <row r="6" spans="19:24" ht="12.75" customHeight="1" x14ac:dyDescent="0.3">
      <c r="S6" s="16">
        <v>4.32</v>
      </c>
      <c r="T6" s="16">
        <v>2.0099999999999998</v>
      </c>
      <c r="U6" s="16">
        <v>1.01</v>
      </c>
      <c r="V6" s="16">
        <v>4.1100000000000003</v>
      </c>
      <c r="W6" s="16">
        <v>7.0000000000000007E-2</v>
      </c>
    </row>
    <row r="7" spans="19:24" ht="12.75" customHeight="1" x14ac:dyDescent="0.3">
      <c r="S7" s="364">
        <f t="shared" ref="S7:W7" si="0">S5-S6</f>
        <v>4.17</v>
      </c>
      <c r="T7" s="364">
        <f t="shared" si="0"/>
        <v>1.7400000000000002</v>
      </c>
      <c r="U7" s="364">
        <f t="shared" si="0"/>
        <v>0.5</v>
      </c>
      <c r="V7" s="364">
        <f t="shared" si="0"/>
        <v>1.2299999999999995</v>
      </c>
      <c r="W7" s="364">
        <f t="shared" si="0"/>
        <v>7.9999999999999988E-2</v>
      </c>
      <c r="X7" s="364"/>
    </row>
    <row r="8" spans="19:24" ht="12.75" customHeight="1" x14ac:dyDescent="0.3"/>
    <row r="9" spans="19:24" ht="12.75" customHeight="1" x14ac:dyDescent="0.3"/>
    <row r="10" spans="19:24" ht="12.75" customHeight="1" x14ac:dyDescent="0.3"/>
    <row r="11" spans="19:24" ht="12.75" customHeight="1" x14ac:dyDescent="0.3"/>
    <row r="12" spans="19:24" ht="12.75" customHeight="1" x14ac:dyDescent="0.3"/>
    <row r="13" spans="19:24" ht="12.75" customHeight="1" x14ac:dyDescent="0.3"/>
    <row r="14" spans="19:24" ht="12.75" customHeight="1" x14ac:dyDescent="0.3"/>
    <row r="15" spans="19:24" ht="12.75" customHeight="1" x14ac:dyDescent="0.3"/>
    <row r="16" spans="19:24" ht="12.75" customHeight="1" x14ac:dyDescent="0.3"/>
    <row r="17" ht="12.75" customHeight="1" x14ac:dyDescent="0.3"/>
    <row r="18" ht="12.75" customHeight="1" x14ac:dyDescent="0.3"/>
    <row r="19" ht="12.75" customHeight="1" x14ac:dyDescent="0.3"/>
    <row r="20" ht="12.75" customHeight="1" x14ac:dyDescent="0.3"/>
    <row r="21" ht="12.75" customHeight="1" x14ac:dyDescent="0.3"/>
    <row r="22" ht="12.75" customHeight="1" x14ac:dyDescent="0.3"/>
    <row r="23" ht="12.75" customHeight="1" x14ac:dyDescent="0.3"/>
    <row r="24" ht="12.75" customHeight="1" x14ac:dyDescent="0.3"/>
    <row r="25" ht="12.75" customHeight="1" x14ac:dyDescent="0.3"/>
    <row r="26" ht="12.75" customHeight="1" x14ac:dyDescent="0.3"/>
    <row r="27" ht="12.75" customHeight="1" x14ac:dyDescent="0.3"/>
    <row r="28" ht="12.75" customHeight="1" x14ac:dyDescent="0.3"/>
    <row r="29" ht="12.75" customHeight="1" x14ac:dyDescent="0.3"/>
    <row r="30" ht="12.75" customHeight="1" x14ac:dyDescent="0.3"/>
    <row r="31" ht="12.75" customHeight="1" x14ac:dyDescent="0.3"/>
    <row r="32" ht="12.75" customHeight="1" x14ac:dyDescent="0.3"/>
    <row r="33" ht="12.75" customHeight="1" x14ac:dyDescent="0.3"/>
    <row r="34" ht="12.75" customHeight="1" x14ac:dyDescent="0.3"/>
    <row r="35" ht="12.75" customHeight="1" x14ac:dyDescent="0.3"/>
    <row r="36" ht="12.75" customHeight="1" x14ac:dyDescent="0.3"/>
    <row r="37" ht="12.75" customHeight="1" x14ac:dyDescent="0.3"/>
    <row r="38" ht="12.75" customHeight="1" x14ac:dyDescent="0.3"/>
    <row r="39" ht="12.75" customHeight="1" x14ac:dyDescent="0.3"/>
    <row r="40" ht="12.75" customHeight="1" x14ac:dyDescent="0.3"/>
    <row r="41" ht="12.75" customHeight="1" x14ac:dyDescent="0.3"/>
    <row r="42" ht="12.75" customHeight="1" x14ac:dyDescent="0.3"/>
    <row r="43" ht="12.75" customHeight="1" x14ac:dyDescent="0.3"/>
    <row r="44" ht="12.75" customHeight="1" x14ac:dyDescent="0.3"/>
    <row r="45" ht="12.75" customHeight="1" x14ac:dyDescent="0.3"/>
    <row r="46" ht="12.75" customHeight="1" x14ac:dyDescent="0.3"/>
    <row r="47" ht="12.75" customHeight="1" x14ac:dyDescent="0.3"/>
    <row r="48"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pageMargins left="0.7" right="0.7" top="0.75" bottom="0.75"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F1:F1000"/>
  <sheetViews>
    <sheetView workbookViewId="0"/>
  </sheetViews>
  <sheetFormatPr defaultColWidth="14.3984375" defaultRowHeight="15" customHeight="1" x14ac:dyDescent="0.3"/>
  <cols>
    <col min="1" max="26" width="8.69921875" customWidth="1"/>
  </cols>
  <sheetData>
    <row r="1" spans="6:6" ht="12.75" customHeight="1" x14ac:dyDescent="0.3"/>
    <row r="2" spans="6:6" ht="12.75" customHeight="1" x14ac:dyDescent="0.3"/>
    <row r="3" spans="6:6" ht="12.75" customHeight="1" x14ac:dyDescent="0.3"/>
    <row r="4" spans="6:6" ht="12.75" customHeight="1" x14ac:dyDescent="0.3"/>
    <row r="5" spans="6:6" ht="12.75" customHeight="1" x14ac:dyDescent="0.3">
      <c r="F5" s="16" t="s">
        <v>431</v>
      </c>
    </row>
    <row r="6" spans="6:6" ht="12.75" customHeight="1" x14ac:dyDescent="0.3"/>
    <row r="7" spans="6:6" ht="12.75" customHeight="1" x14ac:dyDescent="0.3">
      <c r="F7" s="16" t="s">
        <v>432</v>
      </c>
    </row>
    <row r="8" spans="6:6" ht="12.75" customHeight="1" x14ac:dyDescent="0.3"/>
    <row r="9" spans="6:6" ht="12.75" customHeight="1" x14ac:dyDescent="0.3">
      <c r="F9" s="16" t="s">
        <v>433</v>
      </c>
    </row>
    <row r="10" spans="6:6" ht="12.75" customHeight="1" x14ac:dyDescent="0.3"/>
    <row r="11" spans="6:6" ht="12.75" customHeight="1" x14ac:dyDescent="0.3">
      <c r="F11" s="365" t="s">
        <v>434</v>
      </c>
    </row>
    <row r="12" spans="6:6" ht="12.75" customHeight="1" x14ac:dyDescent="0.3"/>
    <row r="13" spans="6:6" ht="12.75" customHeight="1" x14ac:dyDescent="0.3">
      <c r="F13" s="16" t="s">
        <v>435</v>
      </c>
    </row>
    <row r="14" spans="6:6" ht="12.75" customHeight="1" x14ac:dyDescent="0.3"/>
    <row r="15" spans="6:6" ht="12.75" customHeight="1" x14ac:dyDescent="0.3"/>
    <row r="16" spans="6:6" ht="12.75" customHeight="1" x14ac:dyDescent="0.3"/>
    <row r="17" ht="12.75" customHeight="1" x14ac:dyDescent="0.3"/>
    <row r="18" ht="12.75" customHeight="1" x14ac:dyDescent="0.3"/>
    <row r="19" ht="12.75" customHeight="1" x14ac:dyDescent="0.3"/>
    <row r="20" ht="12.75" customHeight="1" x14ac:dyDescent="0.3"/>
    <row r="21" ht="12.75" customHeight="1" x14ac:dyDescent="0.3"/>
    <row r="22" ht="12.75" customHeight="1" x14ac:dyDescent="0.3"/>
    <row r="23" ht="12.75" customHeight="1" x14ac:dyDescent="0.3"/>
    <row r="24" ht="12.75" customHeight="1" x14ac:dyDescent="0.3"/>
    <row r="25" ht="12.75" customHeight="1" x14ac:dyDescent="0.3"/>
    <row r="26" ht="12.75" customHeight="1" x14ac:dyDescent="0.3"/>
    <row r="27" ht="12.75" customHeight="1" x14ac:dyDescent="0.3"/>
    <row r="28" ht="12.75" customHeight="1" x14ac:dyDescent="0.3"/>
    <row r="29" ht="12.75" customHeight="1" x14ac:dyDescent="0.3"/>
    <row r="30" ht="12.75" customHeight="1" x14ac:dyDescent="0.3"/>
    <row r="31" ht="12.75" customHeight="1" x14ac:dyDescent="0.3"/>
    <row r="32" ht="12.75" customHeight="1" x14ac:dyDescent="0.3"/>
    <row r="33" ht="12.75" customHeight="1" x14ac:dyDescent="0.3"/>
    <row r="34" ht="12.75" customHeight="1" x14ac:dyDescent="0.3"/>
    <row r="35" ht="12.75" customHeight="1" x14ac:dyDescent="0.3"/>
    <row r="36" ht="12.75" customHeight="1" x14ac:dyDescent="0.3"/>
    <row r="37" ht="12.75" customHeight="1" x14ac:dyDescent="0.3"/>
    <row r="38" ht="12.75" customHeight="1" x14ac:dyDescent="0.3"/>
    <row r="39" ht="12.75" customHeight="1" x14ac:dyDescent="0.3"/>
    <row r="40" ht="12.75" customHeight="1" x14ac:dyDescent="0.3"/>
    <row r="41" ht="12.75" customHeight="1" x14ac:dyDescent="0.3"/>
    <row r="42" ht="12.75" customHeight="1" x14ac:dyDescent="0.3"/>
    <row r="43" ht="12.75" customHeight="1" x14ac:dyDescent="0.3"/>
    <row r="44" ht="12.75" customHeight="1" x14ac:dyDescent="0.3"/>
    <row r="45" ht="12.75" customHeight="1" x14ac:dyDescent="0.3"/>
    <row r="46" ht="12.75" customHeight="1" x14ac:dyDescent="0.3"/>
    <row r="47" ht="12.75" customHeight="1" x14ac:dyDescent="0.3"/>
    <row r="48"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hyperlinks>
    <hyperlink ref="F11" r:id="rId1" xr:uid="{00000000-0004-0000-1500-000000000000}"/>
  </hyperlink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00"/>
  <sheetViews>
    <sheetView workbookViewId="0"/>
  </sheetViews>
  <sheetFormatPr defaultColWidth="14.3984375" defaultRowHeight="15" customHeight="1" x14ac:dyDescent="0.3"/>
  <cols>
    <col min="1" max="1" width="30" customWidth="1"/>
    <col min="2" max="4" width="13.09765625" customWidth="1"/>
    <col min="5" max="5" width="10" customWidth="1"/>
    <col min="6" max="6" width="13.3984375" customWidth="1"/>
    <col min="7" max="7" width="8.3984375" customWidth="1"/>
    <col min="8" max="8" width="22.8984375" customWidth="1"/>
    <col min="9" max="9" width="39" customWidth="1"/>
  </cols>
  <sheetData>
    <row r="1" spans="1:9" ht="12.75" customHeight="1" x14ac:dyDescent="0.3">
      <c r="H1" s="366"/>
      <c r="I1" s="366"/>
    </row>
    <row r="2" spans="1:9" ht="12.75" customHeight="1" x14ac:dyDescent="0.3">
      <c r="H2" s="366"/>
      <c r="I2" s="366"/>
    </row>
    <row r="3" spans="1:9" ht="12.75" customHeight="1" x14ac:dyDescent="0.3">
      <c r="A3" s="367" t="s">
        <v>62</v>
      </c>
      <c r="B3" s="601" t="s">
        <v>436</v>
      </c>
      <c r="C3" s="546"/>
      <c r="D3" s="534"/>
      <c r="E3" s="602" t="s">
        <v>437</v>
      </c>
      <c r="F3" s="534"/>
      <c r="G3" s="368" t="s">
        <v>438</v>
      </c>
      <c r="H3" s="366"/>
      <c r="I3" s="369" t="s">
        <v>439</v>
      </c>
    </row>
    <row r="4" spans="1:9" ht="12.75" customHeight="1" x14ac:dyDescent="0.3">
      <c r="A4" s="370"/>
      <c r="B4" s="371">
        <v>2019</v>
      </c>
      <c r="C4" s="371">
        <v>2020</v>
      </c>
      <c r="D4" s="371">
        <v>2021</v>
      </c>
      <c r="E4" s="371">
        <v>2020</v>
      </c>
      <c r="F4" s="371">
        <v>2021</v>
      </c>
      <c r="G4" s="372" t="s">
        <v>440</v>
      </c>
      <c r="H4" s="366"/>
      <c r="I4" s="373" t="s">
        <v>441</v>
      </c>
    </row>
    <row r="5" spans="1:9" ht="12.75" customHeight="1" x14ac:dyDescent="0.3">
      <c r="A5" s="374" t="s">
        <v>93</v>
      </c>
      <c r="B5" s="375">
        <v>142563</v>
      </c>
      <c r="C5" s="375">
        <v>36707</v>
      </c>
      <c r="D5" s="375">
        <v>80133</v>
      </c>
      <c r="E5" s="61">
        <f t="shared" ref="E5:F5" si="0">C5/B5-1</f>
        <v>-0.74252085043103744</v>
      </c>
      <c r="F5" s="61">
        <f t="shared" si="0"/>
        <v>1.1830441060288228</v>
      </c>
      <c r="G5" s="376">
        <f t="shared" ref="G5:G7" si="1">(D5/B5)^(1/2)-1</f>
        <v>-0.25027449030205906</v>
      </c>
      <c r="H5" s="366"/>
      <c r="I5" s="366"/>
    </row>
    <row r="6" spans="1:9" ht="12.75" customHeight="1" x14ac:dyDescent="0.3">
      <c r="A6" s="374" t="s">
        <v>95</v>
      </c>
      <c r="B6" s="375">
        <v>378921</v>
      </c>
      <c r="C6" s="375">
        <v>148352</v>
      </c>
      <c r="D6" s="375">
        <v>247609</v>
      </c>
      <c r="E6" s="61">
        <f t="shared" ref="E6:F6" si="2">C6/B6-1</f>
        <v>-0.60848831286732596</v>
      </c>
      <c r="F6" s="61">
        <f t="shared" si="2"/>
        <v>0.66906411777394315</v>
      </c>
      <c r="G6" s="376">
        <f t="shared" si="1"/>
        <v>-0.19163244208943864</v>
      </c>
      <c r="H6" s="366"/>
      <c r="I6" s="366"/>
    </row>
    <row r="7" spans="1:9" ht="12.75" customHeight="1" x14ac:dyDescent="0.3">
      <c r="A7" s="374" t="s">
        <v>96</v>
      </c>
      <c r="B7" s="375">
        <v>558321</v>
      </c>
      <c r="C7" s="375">
        <v>320795</v>
      </c>
      <c r="D7" s="375">
        <v>792378</v>
      </c>
      <c r="E7" s="61">
        <f t="shared" ref="E7:F7" si="3">C7/B7-1</f>
        <v>-0.42542909903084425</v>
      </c>
      <c r="F7" s="61">
        <f t="shared" si="3"/>
        <v>1.4700447326174038</v>
      </c>
      <c r="G7" s="376">
        <f t="shared" si="1"/>
        <v>0.19130845185203782</v>
      </c>
      <c r="H7" s="366"/>
      <c r="I7" s="366" t="s">
        <v>442</v>
      </c>
    </row>
    <row r="8" spans="1:9" ht="12.75" customHeight="1" x14ac:dyDescent="0.3">
      <c r="A8" s="374" t="s">
        <v>97</v>
      </c>
      <c r="B8" s="375"/>
      <c r="C8" s="375"/>
      <c r="D8" s="375">
        <v>22311</v>
      </c>
      <c r="E8" s="61"/>
      <c r="F8" s="61"/>
      <c r="G8" s="376"/>
      <c r="H8" s="366"/>
      <c r="I8" s="366"/>
    </row>
    <row r="9" spans="1:9" ht="12.75" customHeight="1" x14ac:dyDescent="0.3">
      <c r="A9" s="374" t="s">
        <v>98</v>
      </c>
      <c r="B9" s="375">
        <v>49627</v>
      </c>
      <c r="C9" s="375">
        <v>22061</v>
      </c>
      <c r="D9" s="375">
        <v>0</v>
      </c>
      <c r="E9" s="61">
        <f t="shared" ref="E9:E10" si="4">C9/B9-1</f>
        <v>-0.55546375964696637</v>
      </c>
      <c r="F9" s="61"/>
      <c r="G9" s="376">
        <f t="shared" ref="G9:G10" si="5">(D9/B9)^(1/2)-1</f>
        <v>-1</v>
      </c>
      <c r="H9" s="366"/>
      <c r="I9" s="366"/>
    </row>
    <row r="10" spans="1:9" ht="12.75" customHeight="1" x14ac:dyDescent="0.3">
      <c r="A10" s="374" t="s">
        <v>275</v>
      </c>
      <c r="B10" s="375"/>
      <c r="C10" s="375"/>
      <c r="D10" s="375"/>
      <c r="E10" s="61" t="e">
        <f t="shared" si="4"/>
        <v>#DIV/0!</v>
      </c>
      <c r="F10" s="61"/>
      <c r="G10" s="376" t="e">
        <f t="shared" si="5"/>
        <v>#DIV/0!</v>
      </c>
      <c r="H10" s="366"/>
      <c r="I10" s="366"/>
    </row>
    <row r="11" spans="1:9" ht="12.75" customHeight="1" x14ac:dyDescent="0.3">
      <c r="A11" s="374" t="s">
        <v>276</v>
      </c>
      <c r="B11" s="375"/>
      <c r="C11" s="375">
        <v>2007</v>
      </c>
      <c r="D11" s="375">
        <v>9827</v>
      </c>
      <c r="E11" s="61"/>
      <c r="F11" s="61"/>
      <c r="G11" s="376"/>
      <c r="H11" s="366"/>
      <c r="I11" s="366"/>
    </row>
    <row r="12" spans="1:9" ht="12.75" customHeight="1" x14ac:dyDescent="0.3">
      <c r="A12" s="377" t="s">
        <v>443</v>
      </c>
      <c r="B12" s="378">
        <f t="shared" ref="B12:D12" si="6">SUM(B5:B11)</f>
        <v>1129432</v>
      </c>
      <c r="C12" s="378">
        <f t="shared" si="6"/>
        <v>529922</v>
      </c>
      <c r="D12" s="378">
        <f t="shared" si="6"/>
        <v>1152258</v>
      </c>
      <c r="E12" s="379">
        <f t="shared" ref="E12:F12" si="7">C12/B12-1</f>
        <v>-0.53080663554777985</v>
      </c>
      <c r="F12" s="379">
        <f t="shared" si="7"/>
        <v>1.1743917029298649</v>
      </c>
      <c r="G12" s="379">
        <f>(D12/B12)^(1/2)-1</f>
        <v>1.0054532554879314E-2</v>
      </c>
      <c r="H12" s="366" t="s">
        <v>444</v>
      </c>
      <c r="I12" s="380" t="s">
        <v>445</v>
      </c>
    </row>
    <row r="13" spans="1:9" ht="12.75" customHeight="1" x14ac:dyDescent="0.3">
      <c r="H13" s="366"/>
      <c r="I13" s="366"/>
    </row>
    <row r="14" spans="1:9" ht="39.75" customHeight="1" x14ac:dyDescent="0.3">
      <c r="A14" s="367" t="s">
        <v>62</v>
      </c>
      <c r="B14" s="603" t="s">
        <v>446</v>
      </c>
      <c r="C14" s="546"/>
      <c r="D14" s="534"/>
      <c r="E14" s="604" t="s">
        <v>437</v>
      </c>
      <c r="F14" s="534"/>
      <c r="G14" s="381" t="s">
        <v>438</v>
      </c>
      <c r="H14" s="382" t="s">
        <v>447</v>
      </c>
      <c r="I14" s="373" t="s">
        <v>448</v>
      </c>
    </row>
    <row r="15" spans="1:9" ht="12.75" customHeight="1" x14ac:dyDescent="0.3">
      <c r="A15" s="370"/>
      <c r="B15" s="383">
        <v>2019</v>
      </c>
      <c r="C15" s="383">
        <v>2020</v>
      </c>
      <c r="D15" s="383">
        <v>2021</v>
      </c>
      <c r="E15" s="383">
        <v>2020</v>
      </c>
      <c r="F15" s="383">
        <v>2021</v>
      </c>
      <c r="G15" s="383" t="s">
        <v>440</v>
      </c>
      <c r="H15" s="362"/>
      <c r="I15" s="384" t="s">
        <v>449</v>
      </c>
    </row>
    <row r="16" spans="1:9" ht="12.75" customHeight="1" x14ac:dyDescent="0.3">
      <c r="A16" s="374" t="s">
        <v>93</v>
      </c>
      <c r="B16" s="375">
        <f>'Stryker Data(19-21)'!C4</f>
        <v>15212</v>
      </c>
      <c r="C16" s="375">
        <f>'Stryker Data(19-21)'!C16</f>
        <v>26535</v>
      </c>
      <c r="D16" s="375">
        <f>'Stryker Data(19-21)'!C27</f>
        <v>23010</v>
      </c>
      <c r="E16" s="61">
        <f t="shared" ref="E16:F16" si="8">C16/B16-1</f>
        <v>0.74434656849855374</v>
      </c>
      <c r="F16" s="61">
        <f t="shared" si="8"/>
        <v>-0.13284341435839453</v>
      </c>
      <c r="G16" s="376">
        <f t="shared" ref="G16:G18" si="9">(D16/B16)^(1/2)-1</f>
        <v>0.22988682996235754</v>
      </c>
      <c r="H16" s="362" t="s">
        <v>450</v>
      </c>
      <c r="I16" s="385"/>
    </row>
    <row r="17" spans="1:9" ht="12.75" customHeight="1" x14ac:dyDescent="0.3">
      <c r="A17" s="374" t="s">
        <v>95</v>
      </c>
      <c r="B17" s="375">
        <f>'Stryker Data(19-21)'!C5</f>
        <v>57280</v>
      </c>
      <c r="C17" s="375">
        <f>'Stryker Data(19-21)'!C17</f>
        <v>76435</v>
      </c>
      <c r="D17" s="375">
        <f>'Stryker Data(19-21)'!C28</f>
        <v>83152</v>
      </c>
      <c r="E17" s="61">
        <f t="shared" ref="E17:F17" si="10">C17/B17-1</f>
        <v>0.33440991620111737</v>
      </c>
      <c r="F17" s="61">
        <f t="shared" si="10"/>
        <v>8.7878589651337657E-2</v>
      </c>
      <c r="G17" s="376">
        <f t="shared" si="9"/>
        <v>0.20485516874586684</v>
      </c>
      <c r="H17" s="366"/>
      <c r="I17" s="380" t="s">
        <v>451</v>
      </c>
    </row>
    <row r="18" spans="1:9" ht="12.75" customHeight="1" x14ac:dyDescent="0.3">
      <c r="A18" s="374" t="s">
        <v>96</v>
      </c>
      <c r="B18" s="375">
        <f>'Stryker Data(19-21)'!C6</f>
        <v>139381</v>
      </c>
      <c r="C18" s="375">
        <f>'Stryker Data(19-21)'!C18</f>
        <v>55319</v>
      </c>
      <c r="D18" s="375">
        <f>'Stryker Data(19-21)'!C29</f>
        <v>67021</v>
      </c>
      <c r="E18" s="61">
        <f t="shared" ref="E18:F18" si="11">C18/B18-1</f>
        <v>-0.60310946255228481</v>
      </c>
      <c r="F18" s="61">
        <f t="shared" si="11"/>
        <v>0.21153672336810136</v>
      </c>
      <c r="G18" s="376">
        <f t="shared" si="9"/>
        <v>-0.30656834419302026</v>
      </c>
      <c r="H18" s="386" t="s">
        <v>452</v>
      </c>
      <c r="I18" s="380" t="s">
        <v>453</v>
      </c>
    </row>
    <row r="19" spans="1:9" ht="29.25" customHeight="1" x14ac:dyDescent="0.3">
      <c r="A19" s="374" t="s">
        <v>97</v>
      </c>
      <c r="B19" s="375">
        <f>'Stryker Data(19-21)'!C7</f>
        <v>0</v>
      </c>
      <c r="C19" s="375">
        <f>'Stryker Data(19-21)'!C19</f>
        <v>0</v>
      </c>
      <c r="D19" s="375">
        <f>'Stryker Data(19-21)'!C30</f>
        <v>0</v>
      </c>
      <c r="E19" s="61"/>
      <c r="F19" s="61"/>
      <c r="G19" s="376"/>
      <c r="H19" s="387" t="s">
        <v>454</v>
      </c>
      <c r="I19" s="373" t="s">
        <v>455</v>
      </c>
    </row>
    <row r="20" spans="1:9" ht="12.75" customHeight="1" x14ac:dyDescent="0.3">
      <c r="A20" s="374" t="s">
        <v>98</v>
      </c>
      <c r="B20" s="375">
        <f>'Stryker Data(19-21)'!C8</f>
        <v>85</v>
      </c>
      <c r="C20" s="375">
        <f>'Stryker Data(19-21)'!C20</f>
        <v>0</v>
      </c>
      <c r="D20" s="375">
        <f>'Stryker Data(19-21)'!C31</f>
        <v>0</v>
      </c>
      <c r="E20" s="61">
        <f t="shared" ref="E20:E21" si="12">C20/B20-1</f>
        <v>-1</v>
      </c>
      <c r="F20" s="61"/>
      <c r="G20" s="376">
        <f t="shared" ref="G20:G21" si="13">(D20/B20)^(1/2)-1</f>
        <v>-1</v>
      </c>
      <c r="H20" s="386" t="s">
        <v>456</v>
      </c>
      <c r="I20" s="366"/>
    </row>
    <row r="21" spans="1:9" ht="12.75" customHeight="1" x14ac:dyDescent="0.3">
      <c r="A21" s="374" t="s">
        <v>275</v>
      </c>
      <c r="B21" s="375">
        <f>'Stryker Data(19-21)'!C9</f>
        <v>2180</v>
      </c>
      <c r="C21" s="375">
        <f>'Stryker Data(19-21)'!C21</f>
        <v>0</v>
      </c>
      <c r="D21" s="375">
        <f>'Stryker Data(19-21)'!C32</f>
        <v>0</v>
      </c>
      <c r="E21" s="61">
        <f t="shared" si="12"/>
        <v>-1</v>
      </c>
      <c r="F21" s="61"/>
      <c r="G21" s="376">
        <f t="shared" si="13"/>
        <v>-1</v>
      </c>
      <c r="H21" s="386" t="s">
        <v>457</v>
      </c>
      <c r="I21" s="366"/>
    </row>
    <row r="22" spans="1:9" ht="12.75" customHeight="1" x14ac:dyDescent="0.3">
      <c r="A22" s="374" t="s">
        <v>276</v>
      </c>
      <c r="B22" s="375">
        <f>'Stryker Data(19-21)'!C10</f>
        <v>0</v>
      </c>
      <c r="C22" s="375">
        <f>'Stryker Data(19-21)'!C22</f>
        <v>0</v>
      </c>
      <c r="D22" s="375">
        <f>'Stryker Data(19-21)'!C33</f>
        <v>0</v>
      </c>
      <c r="E22" s="61"/>
      <c r="F22" s="61"/>
      <c r="G22" s="376"/>
      <c r="H22" s="386" t="s">
        <v>456</v>
      </c>
      <c r="I22" s="366" t="s">
        <v>458</v>
      </c>
    </row>
    <row r="23" spans="1:9" ht="12.75" customHeight="1" x14ac:dyDescent="0.3">
      <c r="A23" s="377" t="s">
        <v>443</v>
      </c>
      <c r="B23" s="378">
        <f t="shared" ref="B23:D23" si="14">SUM(B16:B22)</f>
        <v>214138</v>
      </c>
      <c r="C23" s="378">
        <f t="shared" si="14"/>
        <v>158289</v>
      </c>
      <c r="D23" s="378">
        <f t="shared" si="14"/>
        <v>173183</v>
      </c>
      <c r="E23" s="379">
        <f t="shared" ref="E23:F23" si="15">C23/B23-1</f>
        <v>-0.26080845062529767</v>
      </c>
      <c r="F23" s="379">
        <f t="shared" si="15"/>
        <v>9.409371466115779E-2</v>
      </c>
      <c r="G23" s="379">
        <f>(D23/B23)^(1/2)-1</f>
        <v>-0.10069758807089557</v>
      </c>
      <c r="H23" s="362"/>
      <c r="I23" s="366"/>
    </row>
    <row r="24" spans="1:9" ht="12.75" customHeight="1" x14ac:dyDescent="0.3">
      <c r="A24" s="374"/>
      <c r="B24" s="388"/>
      <c r="C24" s="388"/>
      <c r="D24" s="388"/>
      <c r="E24" s="61"/>
      <c r="F24" s="61"/>
      <c r="G24" s="376"/>
      <c r="H24" s="366"/>
      <c r="I24" s="366"/>
    </row>
    <row r="25" spans="1:9" ht="12.75" customHeight="1" x14ac:dyDescent="0.3">
      <c r="A25" s="367" t="s">
        <v>62</v>
      </c>
      <c r="B25" s="605" t="s">
        <v>459</v>
      </c>
      <c r="C25" s="546"/>
      <c r="D25" s="534"/>
      <c r="E25" s="606" t="s">
        <v>437</v>
      </c>
      <c r="F25" s="534"/>
      <c r="G25" s="389" t="s">
        <v>438</v>
      </c>
      <c r="H25" s="366"/>
      <c r="I25" s="366"/>
    </row>
    <row r="26" spans="1:9" ht="12.75" customHeight="1" x14ac:dyDescent="0.3">
      <c r="A26" s="370"/>
      <c r="B26" s="390">
        <v>2019</v>
      </c>
      <c r="C26" s="390">
        <v>2020</v>
      </c>
      <c r="D26" s="390">
        <v>2021</v>
      </c>
      <c r="E26" s="390">
        <v>2020</v>
      </c>
      <c r="F26" s="390">
        <v>2021</v>
      </c>
      <c r="G26" s="391" t="s">
        <v>440</v>
      </c>
      <c r="H26" s="366"/>
      <c r="I26" s="366"/>
    </row>
    <row r="27" spans="1:9" ht="12.75" customHeight="1" x14ac:dyDescent="0.3">
      <c r="A27" s="374" t="s">
        <v>93</v>
      </c>
      <c r="B27" s="375">
        <f>'Stryker Data(19-21)'!E4</f>
        <v>28091</v>
      </c>
      <c r="C27" s="375">
        <f>'Stryker Data(19-21)'!E16</f>
        <v>22273</v>
      </c>
      <c r="D27" s="375">
        <f>'Stryker Data(19-21)'!E27</f>
        <v>22180</v>
      </c>
      <c r="E27" s="61">
        <f t="shared" ref="E27:F27" si="16">C27/B27-1</f>
        <v>-0.20711259834110574</v>
      </c>
      <c r="F27" s="61">
        <f t="shared" si="16"/>
        <v>-4.1754590760113564E-3</v>
      </c>
      <c r="G27" s="376">
        <f t="shared" ref="G27:G29" si="17">(D27/B27)^(1/2)-1</f>
        <v>-0.11141869659474457</v>
      </c>
      <c r="H27" s="366"/>
      <c r="I27" s="373" t="s">
        <v>460</v>
      </c>
    </row>
    <row r="28" spans="1:9" ht="12.75" customHeight="1" x14ac:dyDescent="0.3">
      <c r="A28" s="374" t="s">
        <v>95</v>
      </c>
      <c r="B28" s="375">
        <f>'Stryker Data(19-21)'!E5</f>
        <v>103103</v>
      </c>
      <c r="C28" s="375">
        <f>'Stryker Data(19-21)'!E17</f>
        <v>84808</v>
      </c>
      <c r="D28" s="375">
        <f>'Stryker Data(19-21)'!E28</f>
        <v>61909</v>
      </c>
      <c r="E28" s="61">
        <f t="shared" ref="E28:F28" si="18">C28/B28-1</f>
        <v>-0.17744391530799297</v>
      </c>
      <c r="F28" s="61">
        <f t="shared" si="18"/>
        <v>-0.2700099047259692</v>
      </c>
      <c r="G28" s="376">
        <f t="shared" si="17"/>
        <v>-0.22510788193932962</v>
      </c>
      <c r="H28" s="366"/>
      <c r="I28" s="366"/>
    </row>
    <row r="29" spans="1:9" ht="12.75" customHeight="1" x14ac:dyDescent="0.3">
      <c r="A29" s="374" t="s">
        <v>96</v>
      </c>
      <c r="B29" s="375">
        <f>'Stryker Data(19-21)'!E6</f>
        <v>51593</v>
      </c>
      <c r="C29" s="375">
        <f>'Stryker Data(19-21)'!E18</f>
        <v>44733</v>
      </c>
      <c r="D29" s="375">
        <f>'Stryker Data(19-21)'!E29</f>
        <v>49446</v>
      </c>
      <c r="E29" s="61">
        <f t="shared" ref="E29:F29" si="19">C29/B29-1</f>
        <v>-0.13296377415540872</v>
      </c>
      <c r="F29" s="61">
        <f t="shared" si="19"/>
        <v>0.10535846019716977</v>
      </c>
      <c r="G29" s="376">
        <f t="shared" si="17"/>
        <v>-2.1028178375524842E-2</v>
      </c>
      <c r="H29" s="366"/>
      <c r="I29" s="366"/>
    </row>
    <row r="30" spans="1:9" ht="12.75" customHeight="1" x14ac:dyDescent="0.3">
      <c r="A30" s="374" t="s">
        <v>97</v>
      </c>
      <c r="B30" s="375">
        <f>'Stryker Data(19-21)'!E7</f>
        <v>2004</v>
      </c>
      <c r="C30" s="375">
        <f>'Stryker Data(19-21)'!E19</f>
        <v>6022</v>
      </c>
      <c r="D30" s="375">
        <f>'Stryker Data(19-21)'!E30</f>
        <v>1960</v>
      </c>
      <c r="E30" s="61"/>
      <c r="F30" s="61"/>
      <c r="G30" s="376"/>
      <c r="H30" s="366"/>
      <c r="I30" s="366"/>
    </row>
    <row r="31" spans="1:9" ht="12.75" customHeight="1" x14ac:dyDescent="0.3">
      <c r="A31" s="374" t="s">
        <v>98</v>
      </c>
      <c r="B31" s="375">
        <f>'Stryker Data(19-21)'!E8</f>
        <v>1918</v>
      </c>
      <c r="C31" s="375">
        <f>'Stryker Data(19-21)'!E20</f>
        <v>1851</v>
      </c>
      <c r="D31" s="375">
        <f>'Stryker Data(19-21)'!E31</f>
        <v>49</v>
      </c>
      <c r="E31" s="61">
        <f t="shared" ref="E31:E32" si="20">C31/B31-1</f>
        <v>-3.4932221063607938E-2</v>
      </c>
      <c r="F31" s="61"/>
      <c r="G31" s="376">
        <f t="shared" ref="G31:G32" si="21">(D31/B31)^(1/2)-1</f>
        <v>-0.84016431795285995</v>
      </c>
      <c r="H31" s="366"/>
      <c r="I31" s="366"/>
    </row>
    <row r="32" spans="1:9" ht="12.75" customHeight="1" x14ac:dyDescent="0.3">
      <c r="A32" s="374" t="s">
        <v>275</v>
      </c>
      <c r="B32" s="375">
        <f>'Stryker Data(19-21)'!E9</f>
        <v>18704</v>
      </c>
      <c r="C32" s="375">
        <f>'Stryker Data(19-21)'!E21</f>
        <v>378</v>
      </c>
      <c r="D32" s="375">
        <f>'Stryker Data(19-21)'!E32</f>
        <v>100</v>
      </c>
      <c r="E32" s="61">
        <f t="shared" si="20"/>
        <v>-0.97979041916167664</v>
      </c>
      <c r="F32" s="61"/>
      <c r="G32" s="376">
        <f t="shared" si="21"/>
        <v>-0.9268805774282346</v>
      </c>
      <c r="H32" s="366"/>
      <c r="I32" s="366"/>
    </row>
    <row r="33" spans="1:9" ht="12.75" customHeight="1" x14ac:dyDescent="0.3">
      <c r="A33" s="374" t="s">
        <v>276</v>
      </c>
      <c r="B33" s="375">
        <f>'Stryker Data(19-21)'!E10</f>
        <v>2543</v>
      </c>
      <c r="C33" s="375">
        <f>'Stryker Data(19-21)'!E22</f>
        <v>2080</v>
      </c>
      <c r="D33" s="375">
        <f>'Stryker Data(19-21)'!E33</f>
        <v>246</v>
      </c>
      <c r="E33" s="61"/>
      <c r="F33" s="61"/>
      <c r="G33" s="376"/>
      <c r="H33" s="366"/>
      <c r="I33" s="366"/>
    </row>
    <row r="34" spans="1:9" ht="12.75" customHeight="1" x14ac:dyDescent="0.3">
      <c r="A34" s="377" t="s">
        <v>443</v>
      </c>
      <c r="B34" s="378">
        <f t="shared" ref="B34:D34" si="22">SUM(B27:B33)</f>
        <v>207956</v>
      </c>
      <c r="C34" s="378">
        <f t="shared" si="22"/>
        <v>162145</v>
      </c>
      <c r="D34" s="378">
        <f t="shared" si="22"/>
        <v>135890</v>
      </c>
      <c r="E34" s="379">
        <f t="shared" ref="E34:F34" si="23">C34/B34-1</f>
        <v>-0.22029179249456621</v>
      </c>
      <c r="F34" s="379">
        <f t="shared" si="23"/>
        <v>-0.16192297018101087</v>
      </c>
      <c r="G34" s="379">
        <f>(D34/B34)^(1/2)-1</f>
        <v>-0.19163403172100191</v>
      </c>
      <c r="H34" s="366"/>
      <c r="I34" s="366"/>
    </row>
    <row r="35" spans="1:9" ht="12.75" customHeight="1" x14ac:dyDescent="0.3">
      <c r="A35" s="374"/>
      <c r="B35" s="388"/>
      <c r="C35" s="388"/>
      <c r="D35" s="388"/>
      <c r="E35" s="61"/>
      <c r="F35" s="61"/>
      <c r="G35" s="376"/>
      <c r="H35" s="366"/>
      <c r="I35" s="366"/>
    </row>
    <row r="36" spans="1:9" ht="12.75" customHeight="1" x14ac:dyDescent="0.3">
      <c r="A36" s="367" t="s">
        <v>62</v>
      </c>
      <c r="B36" s="605" t="s">
        <v>461</v>
      </c>
      <c r="C36" s="546"/>
      <c r="D36" s="534"/>
      <c r="E36" s="606" t="s">
        <v>437</v>
      </c>
      <c r="F36" s="534"/>
      <c r="G36" s="389" t="s">
        <v>438</v>
      </c>
      <c r="H36" s="366"/>
      <c r="I36" s="366"/>
    </row>
    <row r="37" spans="1:9" ht="12.75" customHeight="1" x14ac:dyDescent="0.3">
      <c r="A37" s="370"/>
      <c r="B37" s="390">
        <v>2019</v>
      </c>
      <c r="C37" s="390">
        <v>2020</v>
      </c>
      <c r="D37" s="390">
        <v>2021</v>
      </c>
      <c r="E37" s="390">
        <v>2020</v>
      </c>
      <c r="F37" s="390">
        <v>2021</v>
      </c>
      <c r="G37" s="391" t="s">
        <v>440</v>
      </c>
      <c r="H37" s="366"/>
      <c r="I37" s="366"/>
    </row>
    <row r="38" spans="1:9" ht="12.75" customHeight="1" x14ac:dyDescent="0.3">
      <c r="A38" s="374" t="s">
        <v>93</v>
      </c>
      <c r="B38" s="392">
        <f>'Stryker Data(19-21)'!H4</f>
        <v>122278</v>
      </c>
      <c r="C38" s="392">
        <f>'Stryker Data(19-21)'!H16</f>
        <v>242823</v>
      </c>
      <c r="D38" s="392">
        <f>'Stryker Data(19-21)'!H27</f>
        <v>251465</v>
      </c>
      <c r="E38" s="61">
        <f t="shared" ref="E38:F38" si="24">C38/B38-1</f>
        <v>0.98582737696069622</v>
      </c>
      <c r="F38" s="61">
        <f t="shared" si="24"/>
        <v>3.5589709376788958E-2</v>
      </c>
      <c r="G38" s="376">
        <f t="shared" ref="G38:G40" si="25">(D38/B38)^(1/2)-1</f>
        <v>0.43405104378442494</v>
      </c>
      <c r="H38" s="366"/>
      <c r="I38" s="366"/>
    </row>
    <row r="39" spans="1:9" ht="12.75" customHeight="1" x14ac:dyDescent="0.3">
      <c r="A39" s="374" t="s">
        <v>95</v>
      </c>
      <c r="B39" s="392">
        <f>'Stryker Data(19-21)'!H5</f>
        <v>431226</v>
      </c>
      <c r="C39" s="392">
        <f>'Stryker Data(19-21)'!H17</f>
        <v>642395</v>
      </c>
      <c r="D39" s="392">
        <f>'Stryker Data(19-21)'!H28</f>
        <v>743895</v>
      </c>
      <c r="E39" s="61">
        <f t="shared" ref="E39:F39" si="26">C39/B39-1</f>
        <v>0.48969449894023098</v>
      </c>
      <c r="F39" s="61">
        <f t="shared" si="26"/>
        <v>0.1580024751126643</v>
      </c>
      <c r="G39" s="376">
        <f t="shared" si="25"/>
        <v>0.31341917030874322</v>
      </c>
      <c r="H39" s="366"/>
      <c r="I39" s="366"/>
    </row>
    <row r="40" spans="1:9" ht="12.75" customHeight="1" x14ac:dyDescent="0.3">
      <c r="A40" s="374" t="s">
        <v>96</v>
      </c>
      <c r="B40" s="392">
        <f>'Stryker Data(19-21)'!H6</f>
        <v>749592</v>
      </c>
      <c r="C40" s="392">
        <f>'Stryker Data(19-21)'!H18</f>
        <v>280660</v>
      </c>
      <c r="D40" s="392">
        <f>'Stryker Data(19-21)'!H29</f>
        <v>362437</v>
      </c>
      <c r="E40" s="61">
        <f t="shared" ref="E40:F40" si="27">C40/B40-1</f>
        <v>-0.62558298380985922</v>
      </c>
      <c r="F40" s="61">
        <f t="shared" si="27"/>
        <v>0.29137390436827482</v>
      </c>
      <c r="G40" s="376">
        <f t="shared" si="25"/>
        <v>-0.30464946677277827</v>
      </c>
      <c r="H40" s="366"/>
      <c r="I40" s="366"/>
    </row>
    <row r="41" spans="1:9" ht="12.75" customHeight="1" x14ac:dyDescent="0.3">
      <c r="A41" s="374" t="s">
        <v>97</v>
      </c>
      <c r="B41" s="392">
        <f>'Stryker Data(19-21)'!H7</f>
        <v>0</v>
      </c>
      <c r="C41" s="392">
        <f>'Stryker Data(19-21)'!H19</f>
        <v>0</v>
      </c>
      <c r="D41" s="392">
        <f>'Stryker Data(19-21)'!H30</f>
        <v>0</v>
      </c>
      <c r="E41" s="61"/>
      <c r="F41" s="61"/>
      <c r="G41" s="376"/>
      <c r="H41" s="366"/>
      <c r="I41" s="366"/>
    </row>
    <row r="42" spans="1:9" ht="12.75" customHeight="1" x14ac:dyDescent="0.3">
      <c r="A42" s="374" t="s">
        <v>98</v>
      </c>
      <c r="B42" s="392">
        <f>'Stryker Data(19-21)'!H8</f>
        <v>383</v>
      </c>
      <c r="C42" s="392">
        <f>'Stryker Data(19-21)'!H20</f>
        <v>0</v>
      </c>
      <c r="D42" s="392">
        <f>'Stryker Data(19-21)'!H31</f>
        <v>0</v>
      </c>
      <c r="E42" s="61">
        <f t="shared" ref="E42:E43" si="28">C42/B42-1</f>
        <v>-1</v>
      </c>
      <c r="F42" s="61"/>
      <c r="G42" s="376">
        <f t="shared" ref="G42:G43" si="29">(D42/B42)^(1/2)-1</f>
        <v>-1</v>
      </c>
      <c r="H42" s="366"/>
      <c r="I42" s="366"/>
    </row>
    <row r="43" spans="1:9" ht="12.75" customHeight="1" x14ac:dyDescent="0.3">
      <c r="A43" s="374" t="s">
        <v>275</v>
      </c>
      <c r="B43" s="392">
        <f>'Stryker Data(19-21)'!H9</f>
        <v>4055</v>
      </c>
      <c r="C43" s="392">
        <f>'Stryker Data(19-21)'!H21</f>
        <v>0</v>
      </c>
      <c r="D43" s="392">
        <f>'Stryker Data(19-21)'!H32</f>
        <v>0</v>
      </c>
      <c r="E43" s="61">
        <f t="shared" si="28"/>
        <v>-1</v>
      </c>
      <c r="F43" s="61"/>
      <c r="G43" s="376">
        <f t="shared" si="29"/>
        <v>-1</v>
      </c>
      <c r="H43" s="366"/>
      <c r="I43" s="366"/>
    </row>
    <row r="44" spans="1:9" ht="12.75" customHeight="1" x14ac:dyDescent="0.3">
      <c r="A44" s="374" t="s">
        <v>276</v>
      </c>
      <c r="B44" s="392">
        <f>'Stryker Data(19-21)'!H10</f>
        <v>0</v>
      </c>
      <c r="C44" s="392">
        <f>'Stryker Data(19-21)'!H22</f>
        <v>0</v>
      </c>
      <c r="D44" s="392">
        <f>'Stryker Data(19-21)'!H33</f>
        <v>0</v>
      </c>
      <c r="E44" s="61"/>
      <c r="F44" s="61"/>
      <c r="G44" s="376"/>
      <c r="H44" s="366"/>
      <c r="I44" s="366"/>
    </row>
    <row r="45" spans="1:9" ht="12.75" customHeight="1" x14ac:dyDescent="0.3">
      <c r="A45" s="377" t="s">
        <v>443</v>
      </c>
      <c r="B45" s="393">
        <f t="shared" ref="B45:D45" si="30">SUM(B38:B44)</f>
        <v>1307534</v>
      </c>
      <c r="C45" s="393">
        <f t="shared" si="30"/>
        <v>1165878</v>
      </c>
      <c r="D45" s="394">
        <f t="shared" si="30"/>
        <v>1357797</v>
      </c>
      <c r="E45" s="379">
        <f t="shared" ref="E45:F45" si="31">C45/B45-1</f>
        <v>-0.10833829177673393</v>
      </c>
      <c r="F45" s="379">
        <f t="shared" si="31"/>
        <v>0.16461327857631769</v>
      </c>
      <c r="G45" s="379">
        <f>(D45/B45)^(1/2)-1</f>
        <v>1.9039285501230241E-2</v>
      </c>
      <c r="H45" s="366"/>
      <c r="I45" s="366"/>
    </row>
    <row r="46" spans="1:9" ht="12.75" customHeight="1" x14ac:dyDescent="0.3">
      <c r="A46" s="374"/>
      <c r="B46" s="395"/>
      <c r="C46" s="395"/>
      <c r="D46" s="395"/>
      <c r="E46" s="61"/>
      <c r="F46" s="61"/>
      <c r="G46" s="376"/>
      <c r="H46" s="366"/>
      <c r="I46" s="366"/>
    </row>
    <row r="47" spans="1:9" ht="12.75" customHeight="1" x14ac:dyDescent="0.3">
      <c r="A47" s="367" t="s">
        <v>62</v>
      </c>
      <c r="B47" s="605" t="s">
        <v>462</v>
      </c>
      <c r="C47" s="546"/>
      <c r="D47" s="534"/>
      <c r="E47" s="606" t="s">
        <v>437</v>
      </c>
      <c r="F47" s="534"/>
      <c r="G47" s="389" t="s">
        <v>438</v>
      </c>
      <c r="H47" s="366"/>
      <c r="I47" s="366"/>
    </row>
    <row r="48" spans="1:9" ht="12.75" customHeight="1" x14ac:dyDescent="0.3">
      <c r="A48" s="370"/>
      <c r="B48" s="390">
        <v>2019</v>
      </c>
      <c r="C48" s="390">
        <v>2020</v>
      </c>
      <c r="D48" s="390">
        <v>2021</v>
      </c>
      <c r="E48" s="390">
        <v>2020</v>
      </c>
      <c r="F48" s="390">
        <v>2021</v>
      </c>
      <c r="G48" s="391" t="s">
        <v>440</v>
      </c>
      <c r="H48" s="366"/>
      <c r="I48" s="366"/>
    </row>
    <row r="49" spans="1:9" ht="12.75" customHeight="1" x14ac:dyDescent="0.3">
      <c r="A49" s="374" t="s">
        <v>93</v>
      </c>
      <c r="B49" s="396">
        <f t="shared" ref="B49:D49" si="32">IFERROR(B38/B16,"")</f>
        <v>8.0382592689981589</v>
      </c>
      <c r="C49" s="396">
        <f t="shared" si="32"/>
        <v>9.1510457885811185</v>
      </c>
      <c r="D49" s="396">
        <f t="shared" si="32"/>
        <v>10.928509343763581</v>
      </c>
      <c r="E49" s="61">
        <f t="shared" ref="E49:F49" si="33">C49/B49-1</f>
        <v>0.13843625620222766</v>
      </c>
      <c r="F49" s="61">
        <f t="shared" si="33"/>
        <v>0.19423611205185121</v>
      </c>
      <c r="G49" s="397">
        <f t="shared" ref="G49:G51" si="34">(D49/B49)^(1/2)-1</f>
        <v>0.16600243928810587</v>
      </c>
      <c r="H49" s="366"/>
      <c r="I49" s="366"/>
    </row>
    <row r="50" spans="1:9" ht="12.75" customHeight="1" x14ac:dyDescent="0.3">
      <c r="A50" s="374" t="s">
        <v>95</v>
      </c>
      <c r="B50" s="396">
        <f t="shared" ref="B50:D50" si="35">IFERROR(B39/B17,"")</f>
        <v>7.5283868715083795</v>
      </c>
      <c r="C50" s="396">
        <f t="shared" si="35"/>
        <v>8.4044613069928698</v>
      </c>
      <c r="D50" s="396">
        <f t="shared" si="35"/>
        <v>8.946206946315181</v>
      </c>
      <c r="E50" s="61">
        <f t="shared" ref="E50:F50" si="36">C50/B50-1</f>
        <v>0.1163694760161762</v>
      </c>
      <c r="F50" s="61">
        <f t="shared" si="36"/>
        <v>6.4459293645811266E-2</v>
      </c>
      <c r="G50" s="397">
        <f t="shared" si="34"/>
        <v>9.0105437050895132E-2</v>
      </c>
      <c r="H50" s="366"/>
      <c r="I50" s="366"/>
    </row>
    <row r="51" spans="1:9" ht="12.75" customHeight="1" x14ac:dyDescent="0.3">
      <c r="A51" s="374" t="s">
        <v>96</v>
      </c>
      <c r="B51" s="396">
        <f t="shared" ref="B51:D51" si="37">IFERROR(B40/B18,"")</f>
        <v>5.3780070454366093</v>
      </c>
      <c r="C51" s="396">
        <f t="shared" si="37"/>
        <v>5.0734828901462423</v>
      </c>
      <c r="D51" s="396">
        <f t="shared" si="37"/>
        <v>5.407812476686412</v>
      </c>
      <c r="E51" s="61">
        <f t="shared" ref="E51:F51" si="38">C51/B51-1</f>
        <v>-5.6623978495670468E-2</v>
      </c>
      <c r="F51" s="61">
        <f t="shared" si="38"/>
        <v>6.5897450287948578E-2</v>
      </c>
      <c r="G51" s="397">
        <f t="shared" si="34"/>
        <v>2.7672192409631258E-3</v>
      </c>
      <c r="H51" s="366"/>
      <c r="I51" s="366"/>
    </row>
    <row r="52" spans="1:9" ht="12.75" customHeight="1" x14ac:dyDescent="0.3">
      <c r="A52" s="374" t="s">
        <v>97</v>
      </c>
      <c r="B52" s="396" t="str">
        <f t="shared" ref="B52:D52" si="39">IFERROR(B41/B19,"")</f>
        <v/>
      </c>
      <c r="C52" s="396" t="str">
        <f t="shared" si="39"/>
        <v/>
      </c>
      <c r="D52" s="396" t="str">
        <f t="shared" si="39"/>
        <v/>
      </c>
      <c r="E52" s="61"/>
      <c r="F52" s="61"/>
      <c r="G52" s="376"/>
      <c r="H52" s="366"/>
      <c r="I52" s="366"/>
    </row>
    <row r="53" spans="1:9" ht="12.75" customHeight="1" x14ac:dyDescent="0.3">
      <c r="A53" s="374" t="s">
        <v>98</v>
      </c>
      <c r="B53" s="396">
        <f t="shared" ref="B53:D53" si="40">IFERROR(B42/B20,"")</f>
        <v>4.5058823529411764</v>
      </c>
      <c r="C53" s="396" t="str">
        <f t="shared" si="40"/>
        <v/>
      </c>
      <c r="D53" s="396" t="str">
        <f t="shared" si="40"/>
        <v/>
      </c>
      <c r="E53" s="61" t="e">
        <f t="shared" ref="E53:E54" si="41">C53/B53-1</f>
        <v>#VALUE!</v>
      </c>
      <c r="F53" s="61"/>
      <c r="G53" s="376" t="e">
        <f t="shared" ref="G53:G54" si="42">(D53/B53)^(1/2)-1</f>
        <v>#VALUE!</v>
      </c>
      <c r="H53" s="366"/>
      <c r="I53" s="366"/>
    </row>
    <row r="54" spans="1:9" ht="12.75" customHeight="1" x14ac:dyDescent="0.3">
      <c r="A54" s="374" t="s">
        <v>275</v>
      </c>
      <c r="B54" s="396">
        <f t="shared" ref="B54:D54" si="43">IFERROR(B43/B21,"")</f>
        <v>1.8600917431192661</v>
      </c>
      <c r="C54" s="396" t="str">
        <f t="shared" si="43"/>
        <v/>
      </c>
      <c r="D54" s="396" t="str">
        <f t="shared" si="43"/>
        <v/>
      </c>
      <c r="E54" s="61" t="e">
        <f t="shared" si="41"/>
        <v>#VALUE!</v>
      </c>
      <c r="F54" s="61"/>
      <c r="G54" s="376" t="e">
        <f t="shared" si="42"/>
        <v>#VALUE!</v>
      </c>
      <c r="H54" s="366"/>
      <c r="I54" s="366"/>
    </row>
    <row r="55" spans="1:9" ht="12.75" customHeight="1" x14ac:dyDescent="0.3">
      <c r="A55" s="374" t="s">
        <v>276</v>
      </c>
      <c r="B55" s="396" t="str">
        <f t="shared" ref="B55:D55" si="44">IFERROR(B44/B22,"")</f>
        <v/>
      </c>
      <c r="C55" s="396" t="str">
        <f t="shared" si="44"/>
        <v/>
      </c>
      <c r="D55" s="396" t="str">
        <f t="shared" si="44"/>
        <v/>
      </c>
      <c r="E55" s="61"/>
      <c r="F55" s="61"/>
      <c r="G55" s="376"/>
      <c r="H55" s="366"/>
      <c r="I55" s="366"/>
    </row>
    <row r="56" spans="1:9" ht="12.75" customHeight="1" x14ac:dyDescent="0.3">
      <c r="A56" s="377" t="s">
        <v>443</v>
      </c>
      <c r="B56" s="398">
        <f t="shared" ref="B56:D56" si="45">B45/B23</f>
        <v>6.1060344263979305</v>
      </c>
      <c r="C56" s="398">
        <f t="shared" si="45"/>
        <v>7.3655023406553832</v>
      </c>
      <c r="D56" s="399">
        <f t="shared" si="45"/>
        <v>7.8402441348169276</v>
      </c>
      <c r="E56" s="400">
        <f t="shared" ref="E56:F56" si="46">C56/B56-1</f>
        <v>0.20626610109049737</v>
      </c>
      <c r="F56" s="400">
        <f t="shared" si="46"/>
        <v>6.4454774732893849E-2</v>
      </c>
      <c r="G56" s="400">
        <f>(D56/B56)^(1/2)-1</f>
        <v>0.13314417039678195</v>
      </c>
      <c r="H56" s="366"/>
      <c r="I56" s="366"/>
    </row>
    <row r="57" spans="1:9" ht="12.75" customHeight="1" x14ac:dyDescent="0.3">
      <c r="A57" s="374"/>
      <c r="B57" s="395"/>
      <c r="C57" s="395"/>
      <c r="D57" s="395"/>
      <c r="E57" s="61"/>
      <c r="F57" s="61"/>
      <c r="G57" s="376"/>
      <c r="H57" s="366"/>
      <c r="I57" s="366"/>
    </row>
    <row r="58" spans="1:9" ht="12.75" customHeight="1" x14ac:dyDescent="0.3">
      <c r="H58" s="366"/>
      <c r="I58" s="366"/>
    </row>
    <row r="59" spans="1:9" ht="12.75" customHeight="1" x14ac:dyDescent="0.3">
      <c r="A59" s="367" t="s">
        <v>62</v>
      </c>
      <c r="B59" s="605" t="s">
        <v>463</v>
      </c>
      <c r="C59" s="546"/>
      <c r="D59" s="534"/>
      <c r="E59" s="606" t="s">
        <v>437</v>
      </c>
      <c r="F59" s="534"/>
      <c r="G59" s="389" t="s">
        <v>438</v>
      </c>
      <c r="H59" s="366"/>
      <c r="I59" s="366"/>
    </row>
    <row r="60" spans="1:9" ht="12.75" customHeight="1" x14ac:dyDescent="0.3">
      <c r="A60" s="370"/>
      <c r="B60" s="390">
        <v>2019</v>
      </c>
      <c r="C60" s="390">
        <v>2020</v>
      </c>
      <c r="D60" s="390">
        <v>2021</v>
      </c>
      <c r="E60" s="390">
        <v>2020</v>
      </c>
      <c r="F60" s="390">
        <v>2021</v>
      </c>
      <c r="G60" s="391" t="s">
        <v>440</v>
      </c>
      <c r="H60" s="366"/>
      <c r="I60" s="366"/>
    </row>
    <row r="61" spans="1:9" ht="12.75" customHeight="1" x14ac:dyDescent="0.3">
      <c r="A61" s="374" t="s">
        <v>93</v>
      </c>
      <c r="B61" s="392">
        <f>'Stryker Data(19-21)'!I4</f>
        <v>93315</v>
      </c>
      <c r="C61" s="392">
        <f>'Stryker Data(19-21)'!I16</f>
        <v>130514</v>
      </c>
      <c r="D61" s="392">
        <f>'Stryker Data(19-21)'!I27</f>
        <v>72286</v>
      </c>
      <c r="E61" s="61">
        <f t="shared" ref="E61:F61" si="47">C61/B61-1</f>
        <v>0.39863901837861015</v>
      </c>
      <c r="F61" s="61">
        <f t="shared" si="47"/>
        <v>-0.44614370872090348</v>
      </c>
      <c r="G61" s="376">
        <f t="shared" ref="G61:G63" si="48">(D61/B61)^(1/2)-1</f>
        <v>-0.11986079535256866</v>
      </c>
      <c r="H61" s="366"/>
      <c r="I61" s="366"/>
    </row>
    <row r="62" spans="1:9" ht="12.75" customHeight="1" x14ac:dyDescent="0.3">
      <c r="A62" s="374" t="s">
        <v>95</v>
      </c>
      <c r="B62" s="392">
        <f>'Stryker Data(19-21)'!I5</f>
        <v>130536</v>
      </c>
      <c r="C62" s="392">
        <f>'Stryker Data(19-21)'!I17</f>
        <v>106972</v>
      </c>
      <c r="D62" s="392">
        <f>'Stryker Data(19-21)'!I28</f>
        <v>71523</v>
      </c>
      <c r="E62" s="61">
        <f t="shared" ref="E62:F62" si="49">C62/B62-1</f>
        <v>-0.18051725194582335</v>
      </c>
      <c r="F62" s="61">
        <f t="shared" si="49"/>
        <v>-0.33138578319560263</v>
      </c>
      <c r="G62" s="376">
        <f t="shared" si="48"/>
        <v>-0.25978529076020196</v>
      </c>
      <c r="H62" s="366"/>
      <c r="I62" s="366"/>
    </row>
    <row r="63" spans="1:9" ht="12.75" customHeight="1" x14ac:dyDescent="0.3">
      <c r="A63" s="374" t="s">
        <v>96</v>
      </c>
      <c r="B63" s="392">
        <f>'Stryker Data(19-21)'!I6</f>
        <v>442197</v>
      </c>
      <c r="C63" s="392">
        <f>'Stryker Data(19-21)'!I18</f>
        <v>193099</v>
      </c>
      <c r="D63" s="392">
        <f>'Stryker Data(19-21)'!I29</f>
        <v>214091</v>
      </c>
      <c r="E63" s="61">
        <f t="shared" ref="E63:F63" si="50">C63/B63-1</f>
        <v>-0.56331906367523976</v>
      </c>
      <c r="F63" s="61">
        <f t="shared" si="50"/>
        <v>0.10871107566585025</v>
      </c>
      <c r="G63" s="376">
        <f t="shared" si="48"/>
        <v>-0.30418896916231952</v>
      </c>
      <c r="H63" s="366"/>
      <c r="I63" s="366"/>
    </row>
    <row r="64" spans="1:9" ht="12.75" customHeight="1" x14ac:dyDescent="0.3">
      <c r="A64" s="374" t="s">
        <v>97</v>
      </c>
      <c r="B64" s="392">
        <f>'Stryker Data(19-21)'!I7</f>
        <v>0</v>
      </c>
      <c r="C64" s="392">
        <f>'Stryker Data(19-21)'!I19</f>
        <v>0</v>
      </c>
      <c r="D64" s="392">
        <f>'Stryker Data(19-21)'!I30</f>
        <v>0</v>
      </c>
      <c r="E64" s="61"/>
      <c r="F64" s="61"/>
      <c r="G64" s="376"/>
      <c r="H64" s="366"/>
      <c r="I64" s="366"/>
    </row>
    <row r="65" spans="1:9" ht="12.75" customHeight="1" x14ac:dyDescent="0.3">
      <c r="A65" s="374" t="s">
        <v>98</v>
      </c>
      <c r="B65" s="392">
        <f>'Stryker Data(19-21)'!I8</f>
        <v>0</v>
      </c>
      <c r="C65" s="392">
        <f>'Stryker Data(19-21)'!I20</f>
        <v>0</v>
      </c>
      <c r="D65" s="392">
        <f>'Stryker Data(19-21)'!I31</f>
        <v>0</v>
      </c>
      <c r="E65" s="61" t="e">
        <f t="shared" ref="E65:E66" si="51">C65/B65-1</f>
        <v>#DIV/0!</v>
      </c>
      <c r="F65" s="61"/>
      <c r="G65" s="376" t="e">
        <f t="shared" ref="G65:G66" si="52">(D65/B65)^(1/2)-1</f>
        <v>#DIV/0!</v>
      </c>
      <c r="H65" s="366"/>
      <c r="I65" s="366"/>
    </row>
    <row r="66" spans="1:9" ht="12.75" customHeight="1" x14ac:dyDescent="0.3">
      <c r="A66" s="374" t="s">
        <v>275</v>
      </c>
      <c r="B66" s="392">
        <f>'Stryker Data(19-21)'!I9</f>
        <v>0</v>
      </c>
      <c r="C66" s="392">
        <f>'Stryker Data(19-21)'!I21</f>
        <v>0</v>
      </c>
      <c r="D66" s="392">
        <f>'Stryker Data(19-21)'!I32</f>
        <v>0</v>
      </c>
      <c r="E66" s="61" t="e">
        <f t="shared" si="51"/>
        <v>#DIV/0!</v>
      </c>
      <c r="F66" s="61"/>
      <c r="G66" s="376" t="e">
        <f t="shared" si="52"/>
        <v>#DIV/0!</v>
      </c>
      <c r="H66" s="366"/>
      <c r="I66" s="366"/>
    </row>
    <row r="67" spans="1:9" ht="12.75" customHeight="1" x14ac:dyDescent="0.3">
      <c r="A67" s="374" t="s">
        <v>276</v>
      </c>
      <c r="B67" s="392">
        <f>'Stryker Data(19-21)'!I10</f>
        <v>0</v>
      </c>
      <c r="C67" s="392">
        <f>'Stryker Data(19-21)'!I22</f>
        <v>0</v>
      </c>
      <c r="D67" s="392">
        <f>'Stryker Data(19-21)'!I33</f>
        <v>0</v>
      </c>
      <c r="E67" s="61"/>
      <c r="F67" s="61"/>
      <c r="G67" s="376"/>
      <c r="H67" s="366"/>
      <c r="I67" s="366"/>
    </row>
    <row r="68" spans="1:9" ht="12.75" customHeight="1" x14ac:dyDescent="0.3">
      <c r="A68" s="377" t="s">
        <v>443</v>
      </c>
      <c r="B68" s="393">
        <f t="shared" ref="B68:D68" si="53">SUM(B61:B67)</f>
        <v>666048</v>
      </c>
      <c r="C68" s="393">
        <f t="shared" si="53"/>
        <v>430585</v>
      </c>
      <c r="D68" s="393">
        <f t="shared" si="53"/>
        <v>357900</v>
      </c>
      <c r="E68" s="379">
        <f t="shared" ref="E68:F68" si="54">C68/B68-1</f>
        <v>-0.35352256894398004</v>
      </c>
      <c r="F68" s="379">
        <f t="shared" si="54"/>
        <v>-0.16880523009394199</v>
      </c>
      <c r="G68" s="379">
        <f>(D68/B68)^(1/2)-1</f>
        <v>-0.26695930566163784</v>
      </c>
      <c r="H68" s="366"/>
      <c r="I68" s="366"/>
    </row>
    <row r="69" spans="1:9" ht="12.75" customHeight="1" x14ac:dyDescent="0.3">
      <c r="H69" s="366"/>
      <c r="I69" s="366"/>
    </row>
    <row r="70" spans="1:9" ht="12.75" customHeight="1" x14ac:dyDescent="0.3">
      <c r="A70" s="367" t="s">
        <v>62</v>
      </c>
      <c r="B70" s="605" t="s">
        <v>464</v>
      </c>
      <c r="C70" s="546"/>
      <c r="D70" s="534"/>
      <c r="E70" s="606" t="s">
        <v>437</v>
      </c>
      <c r="F70" s="534"/>
      <c r="G70" s="389" t="s">
        <v>438</v>
      </c>
      <c r="H70" s="366"/>
      <c r="I70" s="366"/>
    </row>
    <row r="71" spans="1:9" ht="12.75" customHeight="1" x14ac:dyDescent="0.3">
      <c r="A71" s="370"/>
      <c r="B71" s="390">
        <v>2019</v>
      </c>
      <c r="C71" s="390">
        <v>2020</v>
      </c>
      <c r="D71" s="390">
        <v>2021</v>
      </c>
      <c r="E71" s="390">
        <v>2020</v>
      </c>
      <c r="F71" s="390">
        <v>2021</v>
      </c>
      <c r="G71" s="391" t="s">
        <v>440</v>
      </c>
      <c r="H71" s="366"/>
      <c r="I71" s="366"/>
    </row>
    <row r="72" spans="1:9" ht="12.75" customHeight="1" x14ac:dyDescent="0.3">
      <c r="A72" s="374" t="s">
        <v>93</v>
      </c>
      <c r="B72" s="396">
        <f t="shared" ref="B72:D72" si="55">IFERROR(B61/B16,"")</f>
        <v>6.1343018669471467</v>
      </c>
      <c r="C72" s="396">
        <f t="shared" si="55"/>
        <v>4.9185603919351797</v>
      </c>
      <c r="D72" s="396">
        <f t="shared" si="55"/>
        <v>3.141503694046067</v>
      </c>
      <c r="E72" s="61">
        <f t="shared" ref="E72:F72" si="56">C72/B72-1</f>
        <v>-0.19818742236384335</v>
      </c>
      <c r="F72" s="61">
        <f t="shared" si="56"/>
        <v>-0.36129610216902097</v>
      </c>
      <c r="G72" s="376">
        <f t="shared" ref="G72:G74" si="57">(D72/B72)^(1/2)-1</f>
        <v>-0.28437382757048513</v>
      </c>
      <c r="H72" s="366"/>
      <c r="I72" s="380" t="s">
        <v>465</v>
      </c>
    </row>
    <row r="73" spans="1:9" ht="12.75" customHeight="1" x14ac:dyDescent="0.3">
      <c r="A73" s="374" t="s">
        <v>95</v>
      </c>
      <c r="B73" s="396">
        <f t="shared" ref="B73:D73" si="58">IFERROR(B62/B17,"")</f>
        <v>2.2789106145251399</v>
      </c>
      <c r="C73" s="396">
        <f t="shared" si="58"/>
        <v>1.399515928566756</v>
      </c>
      <c r="D73" s="396">
        <f t="shared" si="58"/>
        <v>0.86014768135462771</v>
      </c>
      <c r="E73" s="61">
        <f t="shared" ref="E73:F73" si="59">C73/B73-1</f>
        <v>-0.38588379919482918</v>
      </c>
      <c r="F73" s="61">
        <f t="shared" si="59"/>
        <v>-0.38539629039056045</v>
      </c>
      <c r="G73" s="376">
        <f t="shared" si="57"/>
        <v>-0.3856400931488827</v>
      </c>
      <c r="H73" s="366"/>
      <c r="I73" s="366"/>
    </row>
    <row r="74" spans="1:9" ht="12.75" customHeight="1" x14ac:dyDescent="0.3">
      <c r="A74" s="374" t="s">
        <v>96</v>
      </c>
      <c r="B74" s="396">
        <f t="shared" ref="B74:D74" si="60">IFERROR(B63/B18,"")</f>
        <v>3.1725773240255126</v>
      </c>
      <c r="C74" s="396">
        <f t="shared" si="60"/>
        <v>3.4906451671216039</v>
      </c>
      <c r="D74" s="396">
        <f t="shared" si="60"/>
        <v>3.19438683397741</v>
      </c>
      <c r="E74" s="61">
        <f t="shared" ref="E74:F74" si="61">C74/B74-1</f>
        <v>0.10025534781686973</v>
      </c>
      <c r="F74" s="61">
        <f t="shared" si="61"/>
        <v>-8.487208494711862E-2</v>
      </c>
      <c r="G74" s="376">
        <f t="shared" si="57"/>
        <v>3.4313043120763886E-3</v>
      </c>
      <c r="H74" s="366"/>
      <c r="I74" s="366"/>
    </row>
    <row r="75" spans="1:9" ht="12.75" customHeight="1" x14ac:dyDescent="0.3">
      <c r="A75" s="374" t="s">
        <v>97</v>
      </c>
      <c r="B75" s="396" t="str">
        <f t="shared" ref="B75:D75" si="62">IFERROR(B64/B19,"")</f>
        <v/>
      </c>
      <c r="C75" s="396" t="str">
        <f t="shared" si="62"/>
        <v/>
      </c>
      <c r="D75" s="396" t="str">
        <f t="shared" si="62"/>
        <v/>
      </c>
      <c r="E75" s="61"/>
      <c r="F75" s="61"/>
      <c r="G75" s="376"/>
      <c r="H75" s="366"/>
      <c r="I75" s="366"/>
    </row>
    <row r="76" spans="1:9" ht="12.75" customHeight="1" x14ac:dyDescent="0.3">
      <c r="A76" s="374" t="s">
        <v>98</v>
      </c>
      <c r="B76" s="396">
        <f t="shared" ref="B76:D76" si="63">IFERROR(B65/B20,"")</f>
        <v>0</v>
      </c>
      <c r="C76" s="396" t="str">
        <f t="shared" si="63"/>
        <v/>
      </c>
      <c r="D76" s="396" t="str">
        <f t="shared" si="63"/>
        <v/>
      </c>
      <c r="E76" s="61"/>
      <c r="F76" s="61"/>
      <c r="G76" s="376"/>
      <c r="H76" s="366"/>
      <c r="I76" s="366"/>
    </row>
    <row r="77" spans="1:9" ht="12.75" customHeight="1" x14ac:dyDescent="0.3">
      <c r="A77" s="374" t="s">
        <v>275</v>
      </c>
      <c r="B77" s="396">
        <f t="shared" ref="B77:D77" si="64">IFERROR(B66/B21,"")</f>
        <v>0</v>
      </c>
      <c r="C77" s="396" t="str">
        <f t="shared" si="64"/>
        <v/>
      </c>
      <c r="D77" s="396" t="str">
        <f t="shared" si="64"/>
        <v/>
      </c>
      <c r="E77" s="61"/>
      <c r="F77" s="61"/>
      <c r="G77" s="376"/>
      <c r="H77" s="366"/>
      <c r="I77" s="366"/>
    </row>
    <row r="78" spans="1:9" ht="12.75" customHeight="1" x14ac:dyDescent="0.3">
      <c r="A78" s="374" t="s">
        <v>276</v>
      </c>
      <c r="B78" s="396" t="str">
        <f t="shared" ref="B78:D78" si="65">IFERROR(B67/B22,"")</f>
        <v/>
      </c>
      <c r="C78" s="396" t="str">
        <f t="shared" si="65"/>
        <v/>
      </c>
      <c r="D78" s="396" t="str">
        <f t="shared" si="65"/>
        <v/>
      </c>
      <c r="E78" s="61"/>
      <c r="F78" s="61"/>
      <c r="G78" s="376"/>
      <c r="H78" s="366"/>
      <c r="I78" s="366"/>
    </row>
    <row r="79" spans="1:9" ht="12.75" customHeight="1" x14ac:dyDescent="0.3">
      <c r="A79" s="377" t="s">
        <v>304</v>
      </c>
      <c r="B79" s="401">
        <f t="shared" ref="B79:D79" si="66">B68/B23</f>
        <v>3.1103680803967535</v>
      </c>
      <c r="C79" s="401">
        <f t="shared" si="66"/>
        <v>2.7202458793725399</v>
      </c>
      <c r="D79" s="401">
        <f t="shared" si="66"/>
        <v>2.0666000704457135</v>
      </c>
      <c r="E79" s="379">
        <f t="shared" ref="E79:F79" si="67">C79/B79-1</f>
        <v>-0.12542637750270713</v>
      </c>
      <c r="F79" s="379">
        <f t="shared" si="67"/>
        <v>-0.24028923777934308</v>
      </c>
      <c r="G79" s="379">
        <f>(D79/B79)^(1/2)-1</f>
        <v>-0.18487854072813203</v>
      </c>
      <c r="H79" s="366"/>
      <c r="I79" s="366"/>
    </row>
    <row r="80" spans="1:9" ht="12.75" customHeight="1" x14ac:dyDescent="0.3">
      <c r="H80" s="366"/>
      <c r="I80" s="366"/>
    </row>
    <row r="81" spans="1:9" ht="12.75" customHeight="1" x14ac:dyDescent="0.3">
      <c r="A81" s="367" t="s">
        <v>62</v>
      </c>
      <c r="B81" s="605" t="s">
        <v>466</v>
      </c>
      <c r="C81" s="546"/>
      <c r="D81" s="534"/>
      <c r="E81" s="606" t="s">
        <v>437</v>
      </c>
      <c r="F81" s="534"/>
      <c r="G81" s="389" t="s">
        <v>438</v>
      </c>
      <c r="H81" s="366"/>
      <c r="I81" s="366"/>
    </row>
    <row r="82" spans="1:9" ht="12.75" customHeight="1" x14ac:dyDescent="0.3">
      <c r="A82" s="370"/>
      <c r="B82" s="390">
        <v>2019</v>
      </c>
      <c r="C82" s="390">
        <v>2020</v>
      </c>
      <c r="D82" s="390">
        <v>2021</v>
      </c>
      <c r="E82" s="390">
        <v>2020</v>
      </c>
      <c r="F82" s="390">
        <v>2021</v>
      </c>
      <c r="G82" s="391" t="s">
        <v>440</v>
      </c>
      <c r="H82" s="366"/>
      <c r="I82" s="366"/>
    </row>
    <row r="83" spans="1:9" ht="12.75" customHeight="1" x14ac:dyDescent="0.3">
      <c r="A83" s="374" t="s">
        <v>93</v>
      </c>
      <c r="B83" s="396">
        <f t="shared" ref="B83:D83" si="68">B72+B49</f>
        <v>14.172561135945305</v>
      </c>
      <c r="C83" s="396">
        <f t="shared" si="68"/>
        <v>14.069606180516299</v>
      </c>
      <c r="D83" s="396">
        <f t="shared" si="68"/>
        <v>14.070013037809648</v>
      </c>
      <c r="E83" s="61">
        <f t="shared" ref="E83:F83" si="69">C83/B83-1</f>
        <v>-7.264386051430427E-3</v>
      </c>
      <c r="F83" s="61">
        <f t="shared" si="69"/>
        <v>2.8917461379451836E-5</v>
      </c>
      <c r="G83" s="376">
        <f t="shared" ref="G83:G85" si="70">(D83/B83)^(1/2)-1</f>
        <v>-3.6244074936671034E-3</v>
      </c>
      <c r="H83" s="366"/>
      <c r="I83" s="366"/>
    </row>
    <row r="84" spans="1:9" ht="12.75" customHeight="1" x14ac:dyDescent="0.3">
      <c r="A84" s="374" t="s">
        <v>95</v>
      </c>
      <c r="B84" s="396">
        <f t="shared" ref="B84:D84" si="71">B73+B50</f>
        <v>9.8072974860335194</v>
      </c>
      <c r="C84" s="396">
        <f t="shared" si="71"/>
        <v>9.8039772355596249</v>
      </c>
      <c r="D84" s="396">
        <f t="shared" si="71"/>
        <v>9.8063546276698084</v>
      </c>
      <c r="E84" s="61">
        <f t="shared" ref="E84:F84" si="72">C84/B84-1</f>
        <v>-3.3854897117402416E-4</v>
      </c>
      <c r="F84" s="61">
        <f t="shared" si="72"/>
        <v>2.4249261835906921E-4</v>
      </c>
      <c r="G84" s="376">
        <f t="shared" si="70"/>
        <v>-4.8070379601417024E-5</v>
      </c>
      <c r="H84" s="366"/>
      <c r="I84" s="366"/>
    </row>
    <row r="85" spans="1:9" ht="12.75" customHeight="1" x14ac:dyDescent="0.3">
      <c r="A85" s="374" t="s">
        <v>96</v>
      </c>
      <c r="B85" s="396">
        <f t="shared" ref="B85:D85" si="73">B74+B51</f>
        <v>8.550584369462122</v>
      </c>
      <c r="C85" s="396">
        <f t="shared" si="73"/>
        <v>8.5641280572678458</v>
      </c>
      <c r="D85" s="396">
        <f t="shared" si="73"/>
        <v>8.6021993106638224</v>
      </c>
      <c r="E85" s="61">
        <f t="shared" ref="E85:F85" si="74">C85/B85-1</f>
        <v>1.5839487946689434E-3</v>
      </c>
      <c r="F85" s="61">
        <f t="shared" si="74"/>
        <v>4.4454325228904246E-3</v>
      </c>
      <c r="G85" s="376">
        <f t="shared" si="70"/>
        <v>3.0136702234149215E-3</v>
      </c>
      <c r="H85" s="366"/>
      <c r="I85" s="366"/>
    </row>
    <row r="86" spans="1:9" ht="12.75" customHeight="1" x14ac:dyDescent="0.3">
      <c r="A86" s="374" t="s">
        <v>97</v>
      </c>
      <c r="B86" s="396"/>
      <c r="C86" s="396"/>
      <c r="D86" s="396"/>
      <c r="E86" s="61"/>
      <c r="F86" s="61"/>
      <c r="G86" s="376"/>
      <c r="H86" s="366"/>
      <c r="I86" s="366"/>
    </row>
    <row r="87" spans="1:9" ht="12.75" customHeight="1" x14ac:dyDescent="0.3">
      <c r="A87" s="374" t="s">
        <v>98</v>
      </c>
      <c r="B87" s="396"/>
      <c r="C87" s="396"/>
      <c r="D87" s="396"/>
      <c r="E87" s="61"/>
      <c r="F87" s="61"/>
      <c r="G87" s="376"/>
      <c r="H87" s="366"/>
      <c r="I87" s="366"/>
    </row>
    <row r="88" spans="1:9" ht="12.75" customHeight="1" x14ac:dyDescent="0.3">
      <c r="A88" s="374" t="s">
        <v>275</v>
      </c>
      <c r="B88" s="396"/>
      <c r="C88" s="396"/>
      <c r="D88" s="396"/>
      <c r="E88" s="61"/>
      <c r="F88" s="61"/>
      <c r="G88" s="376"/>
      <c r="H88" s="366"/>
      <c r="I88" s="366"/>
    </row>
    <row r="89" spans="1:9" ht="12.75" customHeight="1" x14ac:dyDescent="0.3">
      <c r="A89" s="374" t="s">
        <v>276</v>
      </c>
      <c r="B89" s="396"/>
      <c r="C89" s="396"/>
      <c r="D89" s="396"/>
      <c r="E89" s="61"/>
      <c r="F89" s="61"/>
      <c r="G89" s="376"/>
      <c r="H89" s="366"/>
      <c r="I89" s="366"/>
    </row>
    <row r="90" spans="1:9" ht="12.75" customHeight="1" x14ac:dyDescent="0.3">
      <c r="A90" s="377" t="s">
        <v>304</v>
      </c>
      <c r="B90" s="401">
        <f t="shared" ref="B90:D90" si="75">B79+B56</f>
        <v>9.2164025067946831</v>
      </c>
      <c r="C90" s="401">
        <f t="shared" si="75"/>
        <v>10.085748220027924</v>
      </c>
      <c r="D90" s="401">
        <f t="shared" si="75"/>
        <v>9.9068442052626402</v>
      </c>
      <c r="E90" s="379">
        <f t="shared" ref="E90:F90" si="76">C90/B90-1</f>
        <v>9.4325927344462768E-2</v>
      </c>
      <c r="F90" s="379">
        <f t="shared" si="76"/>
        <v>-1.7738298722351775E-2</v>
      </c>
      <c r="G90" s="379">
        <f>(D90/B90)^(1/2)-1</f>
        <v>3.6780809595553743E-2</v>
      </c>
      <c r="H90" s="366"/>
      <c r="I90" s="366"/>
    </row>
    <row r="91" spans="1:9" ht="12.75" customHeight="1" x14ac:dyDescent="0.3">
      <c r="H91" s="366"/>
      <c r="I91" s="366"/>
    </row>
    <row r="92" spans="1:9" ht="12.75" customHeight="1" x14ac:dyDescent="0.3">
      <c r="A92" s="367" t="s">
        <v>62</v>
      </c>
      <c r="B92" s="605" t="s">
        <v>467</v>
      </c>
      <c r="C92" s="546"/>
      <c r="D92" s="534"/>
      <c r="E92" s="606" t="s">
        <v>468</v>
      </c>
      <c r="F92" s="534"/>
      <c r="H92" s="366"/>
      <c r="I92" s="366"/>
    </row>
    <row r="93" spans="1:9" ht="12.75" customHeight="1" x14ac:dyDescent="0.3">
      <c r="A93" s="370"/>
      <c r="B93" s="390">
        <v>2019</v>
      </c>
      <c r="C93" s="390">
        <v>2020</v>
      </c>
      <c r="D93" s="390">
        <v>2021</v>
      </c>
      <c r="E93" s="390"/>
      <c r="F93" s="390" t="s">
        <v>469</v>
      </c>
      <c r="G93" s="364"/>
      <c r="H93" s="366"/>
      <c r="I93" s="366"/>
    </row>
    <row r="94" spans="1:9" ht="12.75" customHeight="1" x14ac:dyDescent="0.3">
      <c r="A94" s="374" t="s">
        <v>93</v>
      </c>
      <c r="B94" s="402">
        <f t="shared" ref="B94:D94" si="77">B16/B5</f>
        <v>0.10670370292432117</v>
      </c>
      <c r="C94" s="402">
        <f t="shared" si="77"/>
        <v>0.72288664287465609</v>
      </c>
      <c r="D94" s="402">
        <f t="shared" si="77"/>
        <v>0.28714761708659353</v>
      </c>
      <c r="E94" s="61"/>
      <c r="F94" s="61">
        <v>0.1</v>
      </c>
      <c r="G94" s="376"/>
      <c r="H94" s="366"/>
      <c r="I94" s="366"/>
    </row>
    <row r="95" spans="1:9" ht="12.75" customHeight="1" x14ac:dyDescent="0.3">
      <c r="A95" s="374" t="s">
        <v>95</v>
      </c>
      <c r="B95" s="402">
        <f t="shared" ref="B95:D95" si="78">B17/B6</f>
        <v>0.15116607419488495</v>
      </c>
      <c r="C95" s="402">
        <f t="shared" si="78"/>
        <v>0.51522729723899918</v>
      </c>
      <c r="D95" s="402">
        <f t="shared" si="78"/>
        <v>0.33581978037955001</v>
      </c>
      <c r="E95" s="61"/>
      <c r="F95" s="61">
        <v>0.1</v>
      </c>
      <c r="G95" s="376"/>
      <c r="H95" s="366"/>
      <c r="I95" s="366"/>
    </row>
    <row r="96" spans="1:9" ht="12.75" customHeight="1" x14ac:dyDescent="0.3">
      <c r="A96" s="374" t="s">
        <v>96</v>
      </c>
      <c r="B96" s="402">
        <f t="shared" ref="B96:D96" si="79">B18/B7</f>
        <v>0.24964312644518119</v>
      </c>
      <c r="C96" s="402">
        <f t="shared" si="79"/>
        <v>0.17244346077713182</v>
      </c>
      <c r="D96" s="402">
        <f t="shared" si="79"/>
        <v>8.4582106015058472E-2</v>
      </c>
      <c r="E96" s="61"/>
      <c r="F96" s="61">
        <v>0.1</v>
      </c>
      <c r="G96" s="376"/>
      <c r="H96" s="366"/>
      <c r="I96" s="366"/>
    </row>
    <row r="97" spans="1:9" ht="12.75" customHeight="1" x14ac:dyDescent="0.3">
      <c r="A97" s="374" t="s">
        <v>97</v>
      </c>
      <c r="B97" s="402" t="e">
        <f t="shared" ref="B97:D97" si="80">B19/B8</f>
        <v>#DIV/0!</v>
      </c>
      <c r="C97" s="402" t="e">
        <f t="shared" si="80"/>
        <v>#DIV/0!</v>
      </c>
      <c r="D97" s="402">
        <f t="shared" si="80"/>
        <v>0</v>
      </c>
      <c r="E97" s="61"/>
      <c r="F97" s="61">
        <v>0.1</v>
      </c>
      <c r="G97" s="376"/>
      <c r="H97" s="366"/>
      <c r="I97" s="366"/>
    </row>
    <row r="98" spans="1:9" ht="12.75" customHeight="1" x14ac:dyDescent="0.3">
      <c r="A98" s="374" t="s">
        <v>98</v>
      </c>
      <c r="B98" s="402">
        <f t="shared" ref="B98:D98" si="81">B20/B9</f>
        <v>1.7127773187982347E-3</v>
      </c>
      <c r="C98" s="402">
        <f t="shared" si="81"/>
        <v>0</v>
      </c>
      <c r="D98" s="402" t="e">
        <f t="shared" si="81"/>
        <v>#DIV/0!</v>
      </c>
      <c r="E98" s="61"/>
      <c r="F98" s="61">
        <v>0.1</v>
      </c>
      <c r="G98" s="376"/>
      <c r="H98" s="366"/>
      <c r="I98" s="366"/>
    </row>
    <row r="99" spans="1:9" ht="12.75" customHeight="1" x14ac:dyDescent="0.3">
      <c r="A99" s="374" t="s">
        <v>275</v>
      </c>
      <c r="B99" s="402" t="e">
        <f t="shared" ref="B99:D99" si="82">B21/B10</f>
        <v>#DIV/0!</v>
      </c>
      <c r="C99" s="402" t="e">
        <f t="shared" si="82"/>
        <v>#DIV/0!</v>
      </c>
      <c r="D99" s="402" t="e">
        <f t="shared" si="82"/>
        <v>#DIV/0!</v>
      </c>
      <c r="E99" s="61"/>
      <c r="F99" s="61">
        <v>0.1</v>
      </c>
      <c r="G99" s="376"/>
      <c r="H99" s="366"/>
      <c r="I99" s="366"/>
    </row>
    <row r="100" spans="1:9" ht="12.75" customHeight="1" x14ac:dyDescent="0.3">
      <c r="A100" s="374" t="s">
        <v>276</v>
      </c>
      <c r="B100" s="402" t="e">
        <f t="shared" ref="B100:D100" si="83">B22/B11</f>
        <v>#DIV/0!</v>
      </c>
      <c r="C100" s="402">
        <f t="shared" si="83"/>
        <v>0</v>
      </c>
      <c r="D100" s="402">
        <f t="shared" si="83"/>
        <v>0</v>
      </c>
      <c r="E100" s="61"/>
      <c r="F100" s="61">
        <v>0.1</v>
      </c>
      <c r="G100" s="376"/>
      <c r="H100" s="366"/>
      <c r="I100" s="366"/>
    </row>
    <row r="101" spans="1:9" ht="12.75" customHeight="1" x14ac:dyDescent="0.3">
      <c r="A101" s="377"/>
      <c r="B101" s="403">
        <f t="shared" ref="B101:D101" si="84">B23/B12</f>
        <v>0.18959795720326678</v>
      </c>
      <c r="C101" s="403">
        <f t="shared" si="84"/>
        <v>0.29870245054932615</v>
      </c>
      <c r="D101" s="403">
        <f t="shared" si="84"/>
        <v>0.15029880460799577</v>
      </c>
      <c r="E101" s="61"/>
      <c r="F101" s="61"/>
      <c r="G101" s="376"/>
      <c r="H101" s="366"/>
      <c r="I101" s="366"/>
    </row>
    <row r="102" spans="1:9" ht="12.75" customHeight="1" x14ac:dyDescent="0.3">
      <c r="H102" s="366"/>
      <c r="I102" s="366"/>
    </row>
    <row r="103" spans="1:9" ht="12.75" customHeight="1" x14ac:dyDescent="0.3">
      <c r="A103" s="367" t="s">
        <v>62</v>
      </c>
      <c r="B103" s="605" t="s">
        <v>470</v>
      </c>
      <c r="C103" s="546"/>
      <c r="D103" s="534"/>
      <c r="E103" s="606" t="s">
        <v>468</v>
      </c>
      <c r="F103" s="534"/>
      <c r="H103" s="366"/>
      <c r="I103" s="366"/>
    </row>
    <row r="104" spans="1:9" ht="12.75" customHeight="1" x14ac:dyDescent="0.3">
      <c r="A104" s="370"/>
      <c r="B104" s="390">
        <v>2019</v>
      </c>
      <c r="C104" s="390">
        <v>2020</v>
      </c>
      <c r="D104" s="390">
        <v>2021</v>
      </c>
      <c r="E104" s="390"/>
      <c r="F104" s="390" t="s">
        <v>469</v>
      </c>
      <c r="G104" s="364"/>
      <c r="H104" s="366"/>
      <c r="I104" s="366"/>
    </row>
    <row r="105" spans="1:9" ht="12.75" customHeight="1" x14ac:dyDescent="0.3">
      <c r="A105" s="374" t="s">
        <v>93</v>
      </c>
      <c r="B105" s="402">
        <f t="shared" ref="B105:D105" si="85">B27/B5</f>
        <v>0.19704271094182924</v>
      </c>
      <c r="C105" s="402">
        <f t="shared" si="85"/>
        <v>0.60677799874683302</v>
      </c>
      <c r="D105" s="402">
        <f t="shared" si="85"/>
        <v>0.27678983689616016</v>
      </c>
      <c r="E105" s="61"/>
      <c r="F105" s="61">
        <v>0.1</v>
      </c>
      <c r="G105" s="376"/>
      <c r="H105" s="366"/>
      <c r="I105" s="366"/>
    </row>
    <row r="106" spans="1:9" ht="12.75" customHeight="1" x14ac:dyDescent="0.3">
      <c r="A106" s="374" t="s">
        <v>95</v>
      </c>
      <c r="B106" s="402">
        <f t="shared" ref="B106:D106" si="86">B28/B6</f>
        <v>0.27209629447826855</v>
      </c>
      <c r="C106" s="402">
        <f t="shared" si="86"/>
        <v>0.57166738567730802</v>
      </c>
      <c r="D106" s="402">
        <f t="shared" si="86"/>
        <v>0.2500272607215408</v>
      </c>
      <c r="E106" s="61"/>
      <c r="F106" s="61">
        <v>0.1</v>
      </c>
      <c r="G106" s="376"/>
      <c r="H106" s="366"/>
      <c r="I106" s="366"/>
    </row>
    <row r="107" spans="1:9" ht="12.75" customHeight="1" x14ac:dyDescent="0.3">
      <c r="A107" s="374" t="s">
        <v>96</v>
      </c>
      <c r="B107" s="402">
        <f t="shared" ref="B107:D107" si="87">B29/B7</f>
        <v>9.2407414372735391E-2</v>
      </c>
      <c r="C107" s="402">
        <f t="shared" si="87"/>
        <v>0.13944419333219035</v>
      </c>
      <c r="D107" s="402">
        <f t="shared" si="87"/>
        <v>6.2402035392199177E-2</v>
      </c>
      <c r="E107" s="61"/>
      <c r="F107" s="61">
        <v>0.1</v>
      </c>
      <c r="G107" s="376"/>
      <c r="H107" s="366"/>
      <c r="I107" s="366"/>
    </row>
    <row r="108" spans="1:9" ht="12.75" customHeight="1" x14ac:dyDescent="0.3">
      <c r="A108" s="374" t="s">
        <v>97</v>
      </c>
      <c r="B108" s="402"/>
      <c r="C108" s="402"/>
      <c r="D108" s="402">
        <f>D30/D8</f>
        <v>8.7849043072923669E-2</v>
      </c>
      <c r="E108" s="61"/>
      <c r="F108" s="61">
        <v>0.1</v>
      </c>
      <c r="G108" s="376"/>
      <c r="H108" s="366"/>
      <c r="I108" s="366"/>
    </row>
    <row r="109" spans="1:9" ht="12.75" customHeight="1" x14ac:dyDescent="0.3">
      <c r="A109" s="374" t="s">
        <v>98</v>
      </c>
      <c r="B109" s="402">
        <f t="shared" ref="B109:D109" si="88">B31/B9</f>
        <v>3.8648316440647229E-2</v>
      </c>
      <c r="C109" s="402">
        <f t="shared" si="88"/>
        <v>8.3903721499478723E-2</v>
      </c>
      <c r="D109" s="402" t="e">
        <f t="shared" si="88"/>
        <v>#DIV/0!</v>
      </c>
      <c r="E109" s="61"/>
      <c r="F109" s="61">
        <v>0.1</v>
      </c>
      <c r="G109" s="376"/>
      <c r="H109" s="366"/>
      <c r="I109" s="366"/>
    </row>
    <row r="110" spans="1:9" ht="12.75" customHeight="1" x14ac:dyDescent="0.3">
      <c r="A110" s="374" t="s">
        <v>275</v>
      </c>
      <c r="B110" s="402" t="e">
        <f t="shared" ref="B110:D110" si="89">B32/B10</f>
        <v>#DIV/0!</v>
      </c>
      <c r="C110" s="402" t="e">
        <f t="shared" si="89"/>
        <v>#DIV/0!</v>
      </c>
      <c r="D110" s="402" t="e">
        <f t="shared" si="89"/>
        <v>#DIV/0!</v>
      </c>
      <c r="E110" s="61"/>
      <c r="F110" s="61">
        <v>0.1</v>
      </c>
      <c r="G110" s="376"/>
      <c r="H110" s="366"/>
      <c r="I110" s="366"/>
    </row>
    <row r="111" spans="1:9" ht="12.75" customHeight="1" x14ac:dyDescent="0.3">
      <c r="A111" s="374" t="s">
        <v>276</v>
      </c>
      <c r="B111" s="402" t="e">
        <f t="shared" ref="B111:D111" si="90">B33/B11</f>
        <v>#DIV/0!</v>
      </c>
      <c r="C111" s="402">
        <f t="shared" si="90"/>
        <v>1.0363726955655206</v>
      </c>
      <c r="D111" s="402">
        <f t="shared" si="90"/>
        <v>2.5033072148163225E-2</v>
      </c>
      <c r="E111" s="61"/>
      <c r="F111" s="61">
        <v>0.1</v>
      </c>
      <c r="G111" s="376"/>
      <c r="H111" s="366"/>
      <c r="I111" s="366"/>
    </row>
    <row r="112" spans="1:9" ht="12.75" customHeight="1" x14ac:dyDescent="0.3">
      <c r="A112" s="377"/>
      <c r="B112" s="404">
        <f t="shared" ref="B112:D112" si="91">B34/B12</f>
        <v>0.18412440943766425</v>
      </c>
      <c r="C112" s="404">
        <f t="shared" si="91"/>
        <v>0.30597899313483873</v>
      </c>
      <c r="D112" s="404">
        <f t="shared" si="91"/>
        <v>0.11793365721912974</v>
      </c>
      <c r="E112" s="61"/>
      <c r="F112" s="61"/>
      <c r="G112" s="376"/>
      <c r="H112" s="366"/>
      <c r="I112" s="366"/>
    </row>
    <row r="113" spans="1:9" ht="12.75" customHeight="1" x14ac:dyDescent="0.3">
      <c r="H113" s="366"/>
      <c r="I113" s="366"/>
    </row>
    <row r="114" spans="1:9" ht="12.75" customHeight="1" x14ac:dyDescent="0.3">
      <c r="A114" s="374"/>
      <c r="B114" s="388"/>
      <c r="C114" s="388"/>
      <c r="D114" s="388"/>
      <c r="E114" s="61"/>
      <c r="F114" s="61"/>
      <c r="G114" s="376"/>
      <c r="H114" s="366"/>
      <c r="I114" s="366"/>
    </row>
    <row r="115" spans="1:9" ht="12.75" customHeight="1" x14ac:dyDescent="0.3">
      <c r="A115" s="367" t="s">
        <v>62</v>
      </c>
      <c r="B115" s="605" t="s">
        <v>471</v>
      </c>
      <c r="C115" s="546"/>
      <c r="D115" s="534"/>
      <c r="E115" s="606" t="s">
        <v>468</v>
      </c>
      <c r="F115" s="534"/>
      <c r="G115" s="376"/>
      <c r="H115" s="366"/>
      <c r="I115" s="366"/>
    </row>
    <row r="116" spans="1:9" ht="12.75" customHeight="1" x14ac:dyDescent="0.3">
      <c r="A116" s="370"/>
      <c r="B116" s="390">
        <v>2019</v>
      </c>
      <c r="C116" s="390">
        <v>2020</v>
      </c>
      <c r="D116" s="390">
        <v>2021</v>
      </c>
      <c r="E116" s="390"/>
      <c r="F116" s="390" t="s">
        <v>469</v>
      </c>
      <c r="G116" s="376"/>
      <c r="H116" s="366"/>
      <c r="I116" s="366"/>
    </row>
    <row r="117" spans="1:9" ht="12.75" customHeight="1" x14ac:dyDescent="0.3">
      <c r="A117" s="374" t="s">
        <v>93</v>
      </c>
      <c r="B117" s="61">
        <f t="shared" ref="B117:D117" si="92">B27/B16</f>
        <v>1.8466342361293715</v>
      </c>
      <c r="C117" s="61">
        <f t="shared" si="92"/>
        <v>0.83938194837007729</v>
      </c>
      <c r="D117" s="61">
        <f t="shared" si="92"/>
        <v>0.96392872664059104</v>
      </c>
      <c r="E117" s="61"/>
      <c r="F117" s="61">
        <v>0.1</v>
      </c>
      <c r="G117" s="376"/>
      <c r="H117" s="366"/>
      <c r="I117" s="366"/>
    </row>
    <row r="118" spans="1:9" ht="12.75" customHeight="1" x14ac:dyDescent="0.3">
      <c r="A118" s="374" t="s">
        <v>95</v>
      </c>
      <c r="B118" s="61">
        <f t="shared" ref="B118:D118" si="93">B28/B17</f>
        <v>1.7999825418994413</v>
      </c>
      <c r="C118" s="61">
        <f t="shared" si="93"/>
        <v>1.109544057041931</v>
      </c>
      <c r="D118" s="61">
        <f t="shared" si="93"/>
        <v>0.74452809313065227</v>
      </c>
      <c r="E118" s="61"/>
      <c r="F118" s="61">
        <v>0.1</v>
      </c>
      <c r="G118" s="376"/>
      <c r="H118" s="366"/>
      <c r="I118" s="366"/>
    </row>
    <row r="119" spans="1:9" ht="12.75" customHeight="1" x14ac:dyDescent="0.3">
      <c r="A119" s="374" t="s">
        <v>96</v>
      </c>
      <c r="B119" s="61">
        <f t="shared" ref="B119:D119" si="94">B29/B18</f>
        <v>0.3701580559760656</v>
      </c>
      <c r="C119" s="61">
        <f t="shared" si="94"/>
        <v>0.8086371771000922</v>
      </c>
      <c r="D119" s="61">
        <f t="shared" si="94"/>
        <v>0.7377687590456723</v>
      </c>
      <c r="E119" s="61"/>
      <c r="F119" s="61">
        <v>0.1</v>
      </c>
      <c r="G119" s="376"/>
      <c r="H119" s="366"/>
      <c r="I119" s="366"/>
    </row>
    <row r="120" spans="1:9" ht="12.75" customHeight="1" x14ac:dyDescent="0.3">
      <c r="A120" s="374" t="s">
        <v>97</v>
      </c>
      <c r="B120" s="61" t="e">
        <f t="shared" ref="B120:D120" si="95">B30/B19</f>
        <v>#DIV/0!</v>
      </c>
      <c r="C120" s="61" t="e">
        <f t="shared" si="95"/>
        <v>#DIV/0!</v>
      </c>
      <c r="D120" s="61" t="e">
        <f t="shared" si="95"/>
        <v>#DIV/0!</v>
      </c>
      <c r="E120" s="61"/>
      <c r="F120" s="61">
        <v>0.1</v>
      </c>
      <c r="G120" s="376"/>
      <c r="H120" s="366"/>
      <c r="I120" s="366"/>
    </row>
    <row r="121" spans="1:9" ht="12.75" customHeight="1" x14ac:dyDescent="0.3">
      <c r="A121" s="374" t="s">
        <v>98</v>
      </c>
      <c r="B121" s="61">
        <f t="shared" ref="B121:D121" si="96">B31/B20</f>
        <v>22.564705882352943</v>
      </c>
      <c r="C121" s="61" t="e">
        <f t="shared" si="96"/>
        <v>#DIV/0!</v>
      </c>
      <c r="D121" s="61" t="e">
        <f t="shared" si="96"/>
        <v>#DIV/0!</v>
      </c>
      <c r="E121" s="61"/>
      <c r="F121" s="61">
        <v>0.1</v>
      </c>
      <c r="G121" s="376"/>
      <c r="H121" s="366"/>
      <c r="I121" s="366"/>
    </row>
    <row r="122" spans="1:9" ht="12.75" customHeight="1" x14ac:dyDescent="0.3">
      <c r="A122" s="374" t="s">
        <v>275</v>
      </c>
      <c r="B122" s="61">
        <f t="shared" ref="B122:D122" si="97">B32/B21</f>
        <v>8.5798165137614681</v>
      </c>
      <c r="C122" s="61" t="e">
        <f t="shared" si="97"/>
        <v>#DIV/0!</v>
      </c>
      <c r="D122" s="61" t="e">
        <f t="shared" si="97"/>
        <v>#DIV/0!</v>
      </c>
      <c r="E122" s="61"/>
      <c r="F122" s="61">
        <v>0.1</v>
      </c>
      <c r="G122" s="376"/>
      <c r="H122" s="366"/>
      <c r="I122" s="366"/>
    </row>
    <row r="123" spans="1:9" ht="12.75" customHeight="1" x14ac:dyDescent="0.3">
      <c r="A123" s="374" t="s">
        <v>276</v>
      </c>
      <c r="B123" s="61" t="e">
        <f t="shared" ref="B123:D123" si="98">B33/B22</f>
        <v>#DIV/0!</v>
      </c>
      <c r="C123" s="61" t="e">
        <f t="shared" si="98"/>
        <v>#DIV/0!</v>
      </c>
      <c r="D123" s="61" t="e">
        <f t="shared" si="98"/>
        <v>#DIV/0!</v>
      </c>
      <c r="E123" s="61"/>
      <c r="F123" s="61">
        <v>0.1</v>
      </c>
      <c r="G123" s="376"/>
      <c r="H123" s="366"/>
      <c r="I123" s="366"/>
    </row>
    <row r="124" spans="1:9" ht="12.75" customHeight="1" x14ac:dyDescent="0.3">
      <c r="A124" s="405"/>
      <c r="B124" s="404">
        <f t="shared" ref="B124:D124" si="99">B34/B23</f>
        <v>0.97113076614146021</v>
      </c>
      <c r="C124" s="404">
        <f t="shared" si="99"/>
        <v>1.0243605051519689</v>
      </c>
      <c r="D124" s="404">
        <f t="shared" si="99"/>
        <v>0.78466131202254263</v>
      </c>
      <c r="E124" s="376"/>
      <c r="F124" s="61"/>
      <c r="G124" s="376"/>
      <c r="H124" s="366"/>
      <c r="I124" s="366"/>
    </row>
    <row r="125" spans="1:9" ht="12.75" customHeight="1" x14ac:dyDescent="0.3">
      <c r="A125" s="374"/>
      <c r="B125" s="388"/>
      <c r="C125" s="388"/>
      <c r="D125" s="388"/>
      <c r="E125" s="61"/>
      <c r="F125" s="61"/>
      <c r="G125" s="376"/>
      <c r="H125" s="366"/>
      <c r="I125" s="366"/>
    </row>
    <row r="126" spans="1:9" ht="12.75" customHeight="1" x14ac:dyDescent="0.3">
      <c r="H126" s="366"/>
      <c r="I126" s="366"/>
    </row>
    <row r="127" spans="1:9" ht="12.75" customHeight="1" x14ac:dyDescent="0.3">
      <c r="H127" s="366"/>
      <c r="I127" s="366"/>
    </row>
    <row r="128" spans="1:9" ht="12.75" customHeight="1" x14ac:dyDescent="0.3">
      <c r="H128" s="366"/>
      <c r="I128" s="366"/>
    </row>
    <row r="129" spans="8:9" ht="12.75" customHeight="1" x14ac:dyDescent="0.3">
      <c r="H129" s="366"/>
      <c r="I129" s="366"/>
    </row>
    <row r="130" spans="8:9" ht="12.75" customHeight="1" x14ac:dyDescent="0.3">
      <c r="H130" s="366"/>
      <c r="I130" s="366"/>
    </row>
    <row r="131" spans="8:9" ht="12.75" customHeight="1" x14ac:dyDescent="0.3">
      <c r="H131" s="366"/>
      <c r="I131" s="366"/>
    </row>
    <row r="132" spans="8:9" ht="12.75" customHeight="1" x14ac:dyDescent="0.3">
      <c r="H132" s="366"/>
      <c r="I132" s="366"/>
    </row>
    <row r="133" spans="8:9" ht="12.75" customHeight="1" x14ac:dyDescent="0.3">
      <c r="H133" s="366"/>
      <c r="I133" s="366"/>
    </row>
    <row r="134" spans="8:9" ht="12.75" customHeight="1" x14ac:dyDescent="0.3">
      <c r="H134" s="366"/>
      <c r="I134" s="366"/>
    </row>
    <row r="135" spans="8:9" ht="12.75" customHeight="1" x14ac:dyDescent="0.3">
      <c r="H135" s="366"/>
      <c r="I135" s="366"/>
    </row>
    <row r="136" spans="8:9" ht="12.75" customHeight="1" x14ac:dyDescent="0.3">
      <c r="H136" s="366"/>
      <c r="I136" s="366"/>
    </row>
    <row r="137" spans="8:9" ht="12.75" customHeight="1" x14ac:dyDescent="0.3">
      <c r="H137" s="366"/>
      <c r="I137" s="366"/>
    </row>
    <row r="138" spans="8:9" ht="12.75" customHeight="1" x14ac:dyDescent="0.3">
      <c r="H138" s="366"/>
      <c r="I138" s="366"/>
    </row>
    <row r="139" spans="8:9" ht="12.75" customHeight="1" x14ac:dyDescent="0.3">
      <c r="H139" s="366"/>
      <c r="I139" s="366"/>
    </row>
    <row r="140" spans="8:9" ht="12.75" customHeight="1" x14ac:dyDescent="0.3">
      <c r="H140" s="366"/>
      <c r="I140" s="366"/>
    </row>
    <row r="141" spans="8:9" ht="12.75" customHeight="1" x14ac:dyDescent="0.3">
      <c r="H141" s="366"/>
      <c r="I141" s="366"/>
    </row>
    <row r="142" spans="8:9" ht="12.75" customHeight="1" x14ac:dyDescent="0.3">
      <c r="H142" s="366"/>
      <c r="I142" s="366"/>
    </row>
    <row r="143" spans="8:9" ht="12.75" customHeight="1" x14ac:dyDescent="0.3">
      <c r="H143" s="366"/>
      <c r="I143" s="366"/>
    </row>
    <row r="144" spans="8:9" ht="12.75" customHeight="1" x14ac:dyDescent="0.3">
      <c r="H144" s="366"/>
      <c r="I144" s="366"/>
    </row>
    <row r="145" spans="8:9" ht="12.75" customHeight="1" x14ac:dyDescent="0.3">
      <c r="H145" s="366"/>
      <c r="I145" s="366"/>
    </row>
    <row r="146" spans="8:9" ht="12.75" customHeight="1" x14ac:dyDescent="0.3">
      <c r="H146" s="366"/>
      <c r="I146" s="366"/>
    </row>
    <row r="147" spans="8:9" ht="12.75" customHeight="1" x14ac:dyDescent="0.3">
      <c r="H147" s="366"/>
      <c r="I147" s="366"/>
    </row>
    <row r="148" spans="8:9" ht="12.75" customHeight="1" x14ac:dyDescent="0.3">
      <c r="H148" s="366"/>
      <c r="I148" s="366"/>
    </row>
    <row r="149" spans="8:9" ht="12.75" customHeight="1" x14ac:dyDescent="0.3">
      <c r="H149" s="366"/>
      <c r="I149" s="366"/>
    </row>
    <row r="150" spans="8:9" ht="12.75" customHeight="1" x14ac:dyDescent="0.3">
      <c r="H150" s="366"/>
      <c r="I150" s="366"/>
    </row>
    <row r="151" spans="8:9" ht="12.75" customHeight="1" x14ac:dyDescent="0.3">
      <c r="H151" s="366"/>
      <c r="I151" s="366"/>
    </row>
    <row r="152" spans="8:9" ht="12.75" customHeight="1" x14ac:dyDescent="0.3">
      <c r="H152" s="366"/>
      <c r="I152" s="366"/>
    </row>
    <row r="153" spans="8:9" ht="12.75" customHeight="1" x14ac:dyDescent="0.3">
      <c r="H153" s="366"/>
      <c r="I153" s="366"/>
    </row>
    <row r="154" spans="8:9" ht="12.75" customHeight="1" x14ac:dyDescent="0.3">
      <c r="H154" s="366"/>
      <c r="I154" s="366"/>
    </row>
    <row r="155" spans="8:9" ht="12.75" customHeight="1" x14ac:dyDescent="0.3">
      <c r="H155" s="366"/>
      <c r="I155" s="366"/>
    </row>
    <row r="156" spans="8:9" ht="12.75" customHeight="1" x14ac:dyDescent="0.3">
      <c r="H156" s="366"/>
      <c r="I156" s="366"/>
    </row>
    <row r="157" spans="8:9" ht="12.75" customHeight="1" x14ac:dyDescent="0.3">
      <c r="H157" s="366"/>
      <c r="I157" s="366"/>
    </row>
    <row r="158" spans="8:9" ht="12.75" customHeight="1" x14ac:dyDescent="0.3">
      <c r="H158" s="366"/>
      <c r="I158" s="366"/>
    </row>
    <row r="159" spans="8:9" ht="12.75" customHeight="1" x14ac:dyDescent="0.3">
      <c r="H159" s="366"/>
      <c r="I159" s="366"/>
    </row>
    <row r="160" spans="8:9" ht="12.75" customHeight="1" x14ac:dyDescent="0.3">
      <c r="H160" s="366"/>
      <c r="I160" s="366"/>
    </row>
    <row r="161" spans="8:9" ht="12.75" customHeight="1" x14ac:dyDescent="0.3">
      <c r="H161" s="366"/>
      <c r="I161" s="366"/>
    </row>
    <row r="162" spans="8:9" ht="12.75" customHeight="1" x14ac:dyDescent="0.3">
      <c r="H162" s="366"/>
      <c r="I162" s="366"/>
    </row>
    <row r="163" spans="8:9" ht="12.75" customHeight="1" x14ac:dyDescent="0.3">
      <c r="H163" s="366"/>
      <c r="I163" s="366"/>
    </row>
    <row r="164" spans="8:9" ht="12.75" customHeight="1" x14ac:dyDescent="0.3">
      <c r="H164" s="366"/>
      <c r="I164" s="366"/>
    </row>
    <row r="165" spans="8:9" ht="12.75" customHeight="1" x14ac:dyDescent="0.3">
      <c r="H165" s="366"/>
      <c r="I165" s="366"/>
    </row>
    <row r="166" spans="8:9" ht="12.75" customHeight="1" x14ac:dyDescent="0.3">
      <c r="H166" s="366"/>
      <c r="I166" s="366"/>
    </row>
    <row r="167" spans="8:9" ht="12.75" customHeight="1" x14ac:dyDescent="0.3">
      <c r="H167" s="366"/>
      <c r="I167" s="366"/>
    </row>
    <row r="168" spans="8:9" ht="12.75" customHeight="1" x14ac:dyDescent="0.3">
      <c r="H168" s="366"/>
      <c r="I168" s="366"/>
    </row>
    <row r="169" spans="8:9" ht="12.75" customHeight="1" x14ac:dyDescent="0.3">
      <c r="H169" s="366"/>
      <c r="I169" s="366"/>
    </row>
    <row r="170" spans="8:9" ht="12.75" customHeight="1" x14ac:dyDescent="0.3">
      <c r="H170" s="366"/>
      <c r="I170" s="366"/>
    </row>
    <row r="171" spans="8:9" ht="12.75" customHeight="1" x14ac:dyDescent="0.3">
      <c r="H171" s="366"/>
      <c r="I171" s="366"/>
    </row>
    <row r="172" spans="8:9" ht="12.75" customHeight="1" x14ac:dyDescent="0.3">
      <c r="H172" s="366"/>
      <c r="I172" s="366"/>
    </row>
    <row r="173" spans="8:9" ht="12.75" customHeight="1" x14ac:dyDescent="0.3">
      <c r="H173" s="366"/>
      <c r="I173" s="366"/>
    </row>
    <row r="174" spans="8:9" ht="12.75" customHeight="1" x14ac:dyDescent="0.3">
      <c r="H174" s="366"/>
      <c r="I174" s="366"/>
    </row>
    <row r="175" spans="8:9" ht="12.75" customHeight="1" x14ac:dyDescent="0.3">
      <c r="H175" s="366"/>
      <c r="I175" s="366"/>
    </row>
    <row r="176" spans="8:9" ht="12.75" customHeight="1" x14ac:dyDescent="0.3">
      <c r="H176" s="366"/>
      <c r="I176" s="366"/>
    </row>
    <row r="177" spans="8:9" ht="12.75" customHeight="1" x14ac:dyDescent="0.3">
      <c r="H177" s="366"/>
      <c r="I177" s="366"/>
    </row>
    <row r="178" spans="8:9" ht="12.75" customHeight="1" x14ac:dyDescent="0.3">
      <c r="H178" s="366"/>
      <c r="I178" s="366"/>
    </row>
    <row r="179" spans="8:9" ht="12.75" customHeight="1" x14ac:dyDescent="0.3">
      <c r="H179" s="366"/>
      <c r="I179" s="366"/>
    </row>
    <row r="180" spans="8:9" ht="12.75" customHeight="1" x14ac:dyDescent="0.3">
      <c r="H180" s="366"/>
      <c r="I180" s="366"/>
    </row>
    <row r="181" spans="8:9" ht="12.75" customHeight="1" x14ac:dyDescent="0.3">
      <c r="H181" s="366"/>
      <c r="I181" s="366"/>
    </row>
    <row r="182" spans="8:9" ht="12.75" customHeight="1" x14ac:dyDescent="0.3">
      <c r="H182" s="366"/>
      <c r="I182" s="366"/>
    </row>
    <row r="183" spans="8:9" ht="12.75" customHeight="1" x14ac:dyDescent="0.3">
      <c r="H183" s="366"/>
      <c r="I183" s="366"/>
    </row>
    <row r="184" spans="8:9" ht="12.75" customHeight="1" x14ac:dyDescent="0.3">
      <c r="H184" s="366"/>
      <c r="I184" s="366"/>
    </row>
    <row r="185" spans="8:9" ht="12.75" customHeight="1" x14ac:dyDescent="0.3">
      <c r="H185" s="366"/>
      <c r="I185" s="366"/>
    </row>
    <row r="186" spans="8:9" ht="12.75" customHeight="1" x14ac:dyDescent="0.3">
      <c r="H186" s="366"/>
      <c r="I186" s="366"/>
    </row>
    <row r="187" spans="8:9" ht="12.75" customHeight="1" x14ac:dyDescent="0.3">
      <c r="H187" s="366"/>
      <c r="I187" s="366"/>
    </row>
    <row r="188" spans="8:9" ht="12.75" customHeight="1" x14ac:dyDescent="0.3">
      <c r="H188" s="366"/>
      <c r="I188" s="366"/>
    </row>
    <row r="189" spans="8:9" ht="12.75" customHeight="1" x14ac:dyDescent="0.3">
      <c r="H189" s="366"/>
      <c r="I189" s="366"/>
    </row>
    <row r="190" spans="8:9" ht="12.75" customHeight="1" x14ac:dyDescent="0.3">
      <c r="H190" s="366"/>
      <c r="I190" s="366"/>
    </row>
    <row r="191" spans="8:9" ht="12.75" customHeight="1" x14ac:dyDescent="0.3">
      <c r="H191" s="366"/>
      <c r="I191" s="366"/>
    </row>
    <row r="192" spans="8:9" ht="12.75" customHeight="1" x14ac:dyDescent="0.3">
      <c r="H192" s="366"/>
      <c r="I192" s="366"/>
    </row>
    <row r="193" spans="8:9" ht="12.75" customHeight="1" x14ac:dyDescent="0.3">
      <c r="H193" s="366"/>
      <c r="I193" s="366"/>
    </row>
    <row r="194" spans="8:9" ht="12.75" customHeight="1" x14ac:dyDescent="0.3">
      <c r="H194" s="366"/>
      <c r="I194" s="366"/>
    </row>
    <row r="195" spans="8:9" ht="12.75" customHeight="1" x14ac:dyDescent="0.3">
      <c r="H195" s="366"/>
      <c r="I195" s="366"/>
    </row>
    <row r="196" spans="8:9" ht="12.75" customHeight="1" x14ac:dyDescent="0.3">
      <c r="H196" s="366"/>
      <c r="I196" s="366"/>
    </row>
    <row r="197" spans="8:9" ht="12.75" customHeight="1" x14ac:dyDescent="0.3">
      <c r="H197" s="366"/>
      <c r="I197" s="366"/>
    </row>
    <row r="198" spans="8:9" ht="12.75" customHeight="1" x14ac:dyDescent="0.3">
      <c r="H198" s="366"/>
      <c r="I198" s="366"/>
    </row>
    <row r="199" spans="8:9" ht="12.75" customHeight="1" x14ac:dyDescent="0.3">
      <c r="H199" s="366"/>
      <c r="I199" s="366"/>
    </row>
    <row r="200" spans="8:9" ht="12.75" customHeight="1" x14ac:dyDescent="0.3">
      <c r="H200" s="366"/>
      <c r="I200" s="366"/>
    </row>
    <row r="201" spans="8:9" ht="12.75" customHeight="1" x14ac:dyDescent="0.3">
      <c r="H201" s="366"/>
      <c r="I201" s="366"/>
    </row>
    <row r="202" spans="8:9" ht="12.75" customHeight="1" x14ac:dyDescent="0.3">
      <c r="H202" s="366"/>
      <c r="I202" s="366"/>
    </row>
    <row r="203" spans="8:9" ht="12.75" customHeight="1" x14ac:dyDescent="0.3">
      <c r="H203" s="366"/>
      <c r="I203" s="366"/>
    </row>
    <row r="204" spans="8:9" ht="12.75" customHeight="1" x14ac:dyDescent="0.3">
      <c r="H204" s="366"/>
      <c r="I204" s="366"/>
    </row>
    <row r="205" spans="8:9" ht="12.75" customHeight="1" x14ac:dyDescent="0.3">
      <c r="H205" s="366"/>
      <c r="I205" s="366"/>
    </row>
    <row r="206" spans="8:9" ht="12.75" customHeight="1" x14ac:dyDescent="0.3">
      <c r="H206" s="366"/>
      <c r="I206" s="366"/>
    </row>
    <row r="207" spans="8:9" ht="12.75" customHeight="1" x14ac:dyDescent="0.3">
      <c r="H207" s="366"/>
      <c r="I207" s="366"/>
    </row>
    <row r="208" spans="8:9" ht="12.75" customHeight="1" x14ac:dyDescent="0.3">
      <c r="H208" s="366"/>
      <c r="I208" s="366"/>
    </row>
    <row r="209" spans="8:9" ht="12.75" customHeight="1" x14ac:dyDescent="0.3">
      <c r="H209" s="366"/>
      <c r="I209" s="366"/>
    </row>
    <row r="210" spans="8:9" ht="12.75" customHeight="1" x14ac:dyDescent="0.3">
      <c r="H210" s="366"/>
      <c r="I210" s="366"/>
    </row>
    <row r="211" spans="8:9" ht="12.75" customHeight="1" x14ac:dyDescent="0.3">
      <c r="H211" s="366"/>
      <c r="I211" s="366"/>
    </row>
    <row r="212" spans="8:9" ht="12.75" customHeight="1" x14ac:dyDescent="0.3">
      <c r="H212" s="366"/>
      <c r="I212" s="366"/>
    </row>
    <row r="213" spans="8:9" ht="12.75" customHeight="1" x14ac:dyDescent="0.3">
      <c r="H213" s="366"/>
      <c r="I213" s="366"/>
    </row>
    <row r="214" spans="8:9" ht="12.75" customHeight="1" x14ac:dyDescent="0.3">
      <c r="H214" s="366"/>
      <c r="I214" s="366"/>
    </row>
    <row r="215" spans="8:9" ht="12.75" customHeight="1" x14ac:dyDescent="0.3">
      <c r="H215" s="366"/>
      <c r="I215" s="366"/>
    </row>
    <row r="216" spans="8:9" ht="12.75" customHeight="1" x14ac:dyDescent="0.3">
      <c r="H216" s="366"/>
      <c r="I216" s="366"/>
    </row>
    <row r="217" spans="8:9" ht="12.75" customHeight="1" x14ac:dyDescent="0.3">
      <c r="H217" s="366"/>
      <c r="I217" s="366"/>
    </row>
    <row r="218" spans="8:9" ht="12.75" customHeight="1" x14ac:dyDescent="0.3">
      <c r="H218" s="366"/>
      <c r="I218" s="366"/>
    </row>
    <row r="219" spans="8:9" ht="12.75" customHeight="1" x14ac:dyDescent="0.3">
      <c r="H219" s="366"/>
      <c r="I219" s="366"/>
    </row>
    <row r="220" spans="8:9" ht="12.75" customHeight="1" x14ac:dyDescent="0.3">
      <c r="H220" s="366"/>
      <c r="I220" s="366"/>
    </row>
    <row r="221" spans="8:9" ht="12.75" customHeight="1" x14ac:dyDescent="0.3">
      <c r="H221" s="366"/>
      <c r="I221" s="366"/>
    </row>
    <row r="222" spans="8:9" ht="12.75" customHeight="1" x14ac:dyDescent="0.3">
      <c r="H222" s="366"/>
      <c r="I222" s="366"/>
    </row>
    <row r="223" spans="8:9" ht="12.75" customHeight="1" x14ac:dyDescent="0.3">
      <c r="H223" s="366"/>
      <c r="I223" s="366"/>
    </row>
    <row r="224" spans="8:9" ht="12.75" customHeight="1" x14ac:dyDescent="0.3">
      <c r="H224" s="366"/>
      <c r="I224" s="366"/>
    </row>
    <row r="225" spans="8:9" ht="12.75" customHeight="1" x14ac:dyDescent="0.3">
      <c r="H225" s="366"/>
      <c r="I225" s="366"/>
    </row>
    <row r="226" spans="8:9" ht="12.75" customHeight="1" x14ac:dyDescent="0.3">
      <c r="H226" s="366"/>
      <c r="I226" s="366"/>
    </row>
    <row r="227" spans="8:9" ht="12.75" customHeight="1" x14ac:dyDescent="0.3">
      <c r="H227" s="366"/>
      <c r="I227" s="366"/>
    </row>
    <row r="228" spans="8:9" ht="12.75" customHeight="1" x14ac:dyDescent="0.3">
      <c r="H228" s="366"/>
      <c r="I228" s="366"/>
    </row>
    <row r="229" spans="8:9" ht="12.75" customHeight="1" x14ac:dyDescent="0.3">
      <c r="H229" s="366"/>
      <c r="I229" s="366"/>
    </row>
    <row r="230" spans="8:9" ht="12.75" customHeight="1" x14ac:dyDescent="0.3">
      <c r="H230" s="366"/>
      <c r="I230" s="366"/>
    </row>
    <row r="231" spans="8:9" ht="12.75" customHeight="1" x14ac:dyDescent="0.3">
      <c r="H231" s="366"/>
      <c r="I231" s="366"/>
    </row>
    <row r="232" spans="8:9" ht="12.75" customHeight="1" x14ac:dyDescent="0.3">
      <c r="H232" s="366"/>
      <c r="I232" s="366"/>
    </row>
    <row r="233" spans="8:9" ht="12.75" customHeight="1" x14ac:dyDescent="0.3">
      <c r="H233" s="366"/>
      <c r="I233" s="366"/>
    </row>
    <row r="234" spans="8:9" ht="12.75" customHeight="1" x14ac:dyDescent="0.3">
      <c r="H234" s="366"/>
      <c r="I234" s="366"/>
    </row>
    <row r="235" spans="8:9" ht="12.75" customHeight="1" x14ac:dyDescent="0.3">
      <c r="H235" s="366"/>
      <c r="I235" s="366"/>
    </row>
    <row r="236" spans="8:9" ht="12.75" customHeight="1" x14ac:dyDescent="0.3">
      <c r="H236" s="366"/>
      <c r="I236" s="366"/>
    </row>
    <row r="237" spans="8:9" ht="12.75" customHeight="1" x14ac:dyDescent="0.3">
      <c r="H237" s="366"/>
      <c r="I237" s="366"/>
    </row>
    <row r="238" spans="8:9" ht="12.75" customHeight="1" x14ac:dyDescent="0.3">
      <c r="H238" s="366"/>
      <c r="I238" s="366"/>
    </row>
    <row r="239" spans="8:9" ht="12.75" customHeight="1" x14ac:dyDescent="0.3">
      <c r="H239" s="366"/>
      <c r="I239" s="366"/>
    </row>
    <row r="240" spans="8:9" ht="12.75" customHeight="1" x14ac:dyDescent="0.3">
      <c r="H240" s="366"/>
      <c r="I240" s="366"/>
    </row>
    <row r="241" spans="8:9" ht="12.75" customHeight="1" x14ac:dyDescent="0.3">
      <c r="H241" s="366"/>
      <c r="I241" s="366"/>
    </row>
    <row r="242" spans="8:9" ht="12.75" customHeight="1" x14ac:dyDescent="0.3">
      <c r="H242" s="366"/>
      <c r="I242" s="366"/>
    </row>
    <row r="243" spans="8:9" ht="12.75" customHeight="1" x14ac:dyDescent="0.3">
      <c r="H243" s="366"/>
      <c r="I243" s="366"/>
    </row>
    <row r="244" spans="8:9" ht="12.75" customHeight="1" x14ac:dyDescent="0.3">
      <c r="H244" s="366"/>
      <c r="I244" s="366"/>
    </row>
    <row r="245" spans="8:9" ht="12.75" customHeight="1" x14ac:dyDescent="0.3">
      <c r="H245" s="366"/>
      <c r="I245" s="366"/>
    </row>
    <row r="246" spans="8:9" ht="12.75" customHeight="1" x14ac:dyDescent="0.3">
      <c r="H246" s="366"/>
      <c r="I246" s="366"/>
    </row>
    <row r="247" spans="8:9" ht="12.75" customHeight="1" x14ac:dyDescent="0.3">
      <c r="H247" s="366"/>
      <c r="I247" s="366"/>
    </row>
    <row r="248" spans="8:9" ht="12.75" customHeight="1" x14ac:dyDescent="0.3">
      <c r="H248" s="366"/>
      <c r="I248" s="366"/>
    </row>
    <row r="249" spans="8:9" ht="12.75" customHeight="1" x14ac:dyDescent="0.3">
      <c r="H249" s="366"/>
      <c r="I249" s="366"/>
    </row>
    <row r="250" spans="8:9" ht="12.75" customHeight="1" x14ac:dyDescent="0.3">
      <c r="H250" s="366"/>
      <c r="I250" s="366"/>
    </row>
    <row r="251" spans="8:9" ht="12.75" customHeight="1" x14ac:dyDescent="0.3">
      <c r="H251" s="366"/>
      <c r="I251" s="366"/>
    </row>
    <row r="252" spans="8:9" ht="12.75" customHeight="1" x14ac:dyDescent="0.3">
      <c r="H252" s="366"/>
      <c r="I252" s="366"/>
    </row>
    <row r="253" spans="8:9" ht="12.75" customHeight="1" x14ac:dyDescent="0.3">
      <c r="H253" s="366"/>
      <c r="I253" s="366"/>
    </row>
    <row r="254" spans="8:9" ht="12.75" customHeight="1" x14ac:dyDescent="0.3">
      <c r="H254" s="366"/>
      <c r="I254" s="366"/>
    </row>
    <row r="255" spans="8:9" ht="12.75" customHeight="1" x14ac:dyDescent="0.3">
      <c r="H255" s="366"/>
      <c r="I255" s="366"/>
    </row>
    <row r="256" spans="8:9" ht="12.75" customHeight="1" x14ac:dyDescent="0.3">
      <c r="H256" s="366"/>
      <c r="I256" s="366"/>
    </row>
    <row r="257" spans="8:9" ht="12.75" customHeight="1" x14ac:dyDescent="0.3">
      <c r="H257" s="366"/>
      <c r="I257" s="366"/>
    </row>
    <row r="258" spans="8:9" ht="12.75" customHeight="1" x14ac:dyDescent="0.3">
      <c r="H258" s="366"/>
      <c r="I258" s="366"/>
    </row>
    <row r="259" spans="8:9" ht="12.75" customHeight="1" x14ac:dyDescent="0.3">
      <c r="H259" s="366"/>
      <c r="I259" s="366"/>
    </row>
    <row r="260" spans="8:9" ht="12.75" customHeight="1" x14ac:dyDescent="0.3">
      <c r="H260" s="366"/>
      <c r="I260" s="366"/>
    </row>
    <row r="261" spans="8:9" ht="12.75" customHeight="1" x14ac:dyDescent="0.3">
      <c r="H261" s="366"/>
      <c r="I261" s="366"/>
    </row>
    <row r="262" spans="8:9" ht="12.75" customHeight="1" x14ac:dyDescent="0.3">
      <c r="H262" s="366"/>
      <c r="I262" s="366"/>
    </row>
    <row r="263" spans="8:9" ht="12.75" customHeight="1" x14ac:dyDescent="0.3">
      <c r="H263" s="366"/>
      <c r="I263" s="366"/>
    </row>
    <row r="264" spans="8:9" ht="12.75" customHeight="1" x14ac:dyDescent="0.3">
      <c r="H264" s="366"/>
      <c r="I264" s="366"/>
    </row>
    <row r="265" spans="8:9" ht="12.75" customHeight="1" x14ac:dyDescent="0.3">
      <c r="H265" s="366"/>
      <c r="I265" s="366"/>
    </row>
    <row r="266" spans="8:9" ht="12.75" customHeight="1" x14ac:dyDescent="0.3">
      <c r="H266" s="366"/>
      <c r="I266" s="366"/>
    </row>
    <row r="267" spans="8:9" ht="12.75" customHeight="1" x14ac:dyDescent="0.3">
      <c r="H267" s="366"/>
      <c r="I267" s="366"/>
    </row>
    <row r="268" spans="8:9" ht="12.75" customHeight="1" x14ac:dyDescent="0.3">
      <c r="H268" s="366"/>
      <c r="I268" s="366"/>
    </row>
    <row r="269" spans="8:9" ht="12.75" customHeight="1" x14ac:dyDescent="0.3">
      <c r="H269" s="366"/>
      <c r="I269" s="366"/>
    </row>
    <row r="270" spans="8:9" ht="12.75" customHeight="1" x14ac:dyDescent="0.3">
      <c r="H270" s="366"/>
      <c r="I270" s="366"/>
    </row>
    <row r="271" spans="8:9" ht="12.75" customHeight="1" x14ac:dyDescent="0.3">
      <c r="H271" s="366"/>
      <c r="I271" s="366"/>
    </row>
    <row r="272" spans="8:9" ht="12.75" customHeight="1" x14ac:dyDescent="0.3">
      <c r="H272" s="366"/>
      <c r="I272" s="366"/>
    </row>
    <row r="273" spans="8:9" ht="12.75" customHeight="1" x14ac:dyDescent="0.3">
      <c r="H273" s="366"/>
      <c r="I273" s="366"/>
    </row>
    <row r="274" spans="8:9" ht="12.75" customHeight="1" x14ac:dyDescent="0.3">
      <c r="H274" s="366"/>
      <c r="I274" s="366"/>
    </row>
    <row r="275" spans="8:9" ht="12.75" customHeight="1" x14ac:dyDescent="0.3">
      <c r="H275" s="366"/>
      <c r="I275" s="366"/>
    </row>
    <row r="276" spans="8:9" ht="12.75" customHeight="1" x14ac:dyDescent="0.3">
      <c r="H276" s="366"/>
      <c r="I276" s="366"/>
    </row>
    <row r="277" spans="8:9" ht="12.75" customHeight="1" x14ac:dyDescent="0.3">
      <c r="H277" s="366"/>
      <c r="I277" s="366"/>
    </row>
    <row r="278" spans="8:9" ht="12.75" customHeight="1" x14ac:dyDescent="0.3">
      <c r="H278" s="366"/>
      <c r="I278" s="366"/>
    </row>
    <row r="279" spans="8:9" ht="12.75" customHeight="1" x14ac:dyDescent="0.3">
      <c r="H279" s="366"/>
      <c r="I279" s="366"/>
    </row>
    <row r="280" spans="8:9" ht="12.75" customHeight="1" x14ac:dyDescent="0.3">
      <c r="H280" s="366"/>
      <c r="I280" s="366"/>
    </row>
    <row r="281" spans="8:9" ht="12.75" customHeight="1" x14ac:dyDescent="0.3">
      <c r="H281" s="366"/>
      <c r="I281" s="366"/>
    </row>
    <row r="282" spans="8:9" ht="12.75" customHeight="1" x14ac:dyDescent="0.3">
      <c r="H282" s="366"/>
      <c r="I282" s="366"/>
    </row>
    <row r="283" spans="8:9" ht="12.75" customHeight="1" x14ac:dyDescent="0.3">
      <c r="H283" s="366"/>
      <c r="I283" s="366"/>
    </row>
    <row r="284" spans="8:9" ht="12.75" customHeight="1" x14ac:dyDescent="0.3">
      <c r="H284" s="366"/>
      <c r="I284" s="366"/>
    </row>
    <row r="285" spans="8:9" ht="12.75" customHeight="1" x14ac:dyDescent="0.3">
      <c r="H285" s="366"/>
      <c r="I285" s="366"/>
    </row>
    <row r="286" spans="8:9" ht="12.75" customHeight="1" x14ac:dyDescent="0.3">
      <c r="H286" s="366"/>
      <c r="I286" s="366"/>
    </row>
    <row r="287" spans="8:9" ht="12.75" customHeight="1" x14ac:dyDescent="0.3">
      <c r="H287" s="366"/>
      <c r="I287" s="366"/>
    </row>
    <row r="288" spans="8:9" ht="12.75" customHeight="1" x14ac:dyDescent="0.3">
      <c r="H288" s="366"/>
      <c r="I288" s="366"/>
    </row>
    <row r="289" spans="8:9" ht="12.75" customHeight="1" x14ac:dyDescent="0.3">
      <c r="H289" s="366"/>
      <c r="I289" s="366"/>
    </row>
    <row r="290" spans="8:9" ht="12.75" customHeight="1" x14ac:dyDescent="0.3">
      <c r="H290" s="366"/>
      <c r="I290" s="366"/>
    </row>
    <row r="291" spans="8:9" ht="12.75" customHeight="1" x14ac:dyDescent="0.3">
      <c r="H291" s="366"/>
      <c r="I291" s="366"/>
    </row>
    <row r="292" spans="8:9" ht="12.75" customHeight="1" x14ac:dyDescent="0.3">
      <c r="H292" s="366"/>
      <c r="I292" s="366"/>
    </row>
    <row r="293" spans="8:9" ht="12.75" customHeight="1" x14ac:dyDescent="0.3">
      <c r="H293" s="366"/>
      <c r="I293" s="366"/>
    </row>
    <row r="294" spans="8:9" ht="12.75" customHeight="1" x14ac:dyDescent="0.3">
      <c r="H294" s="366"/>
      <c r="I294" s="366"/>
    </row>
    <row r="295" spans="8:9" ht="12.75" customHeight="1" x14ac:dyDescent="0.3">
      <c r="H295" s="366"/>
      <c r="I295" s="366"/>
    </row>
    <row r="296" spans="8:9" ht="12.75" customHeight="1" x14ac:dyDescent="0.3">
      <c r="H296" s="366"/>
      <c r="I296" s="366"/>
    </row>
    <row r="297" spans="8:9" ht="12.75" customHeight="1" x14ac:dyDescent="0.3">
      <c r="H297" s="366"/>
      <c r="I297" s="366"/>
    </row>
    <row r="298" spans="8:9" ht="12.75" customHeight="1" x14ac:dyDescent="0.3">
      <c r="H298" s="366"/>
      <c r="I298" s="366"/>
    </row>
    <row r="299" spans="8:9" ht="12.75" customHeight="1" x14ac:dyDescent="0.3">
      <c r="H299" s="366"/>
      <c r="I299" s="366"/>
    </row>
    <row r="300" spans="8:9" ht="12.75" customHeight="1" x14ac:dyDescent="0.3">
      <c r="H300" s="366"/>
      <c r="I300" s="366"/>
    </row>
    <row r="301" spans="8:9" ht="12.75" customHeight="1" x14ac:dyDescent="0.3">
      <c r="H301" s="366"/>
      <c r="I301" s="366"/>
    </row>
    <row r="302" spans="8:9" ht="12.75" customHeight="1" x14ac:dyDescent="0.3">
      <c r="H302" s="366"/>
      <c r="I302" s="366"/>
    </row>
    <row r="303" spans="8:9" ht="12.75" customHeight="1" x14ac:dyDescent="0.3">
      <c r="H303" s="366"/>
      <c r="I303" s="366"/>
    </row>
    <row r="304" spans="8:9" ht="12.75" customHeight="1" x14ac:dyDescent="0.3">
      <c r="H304" s="366"/>
      <c r="I304" s="366"/>
    </row>
    <row r="305" spans="8:9" ht="12.75" customHeight="1" x14ac:dyDescent="0.3">
      <c r="H305" s="366"/>
      <c r="I305" s="366"/>
    </row>
    <row r="306" spans="8:9" ht="12.75" customHeight="1" x14ac:dyDescent="0.3">
      <c r="H306" s="366"/>
      <c r="I306" s="366"/>
    </row>
    <row r="307" spans="8:9" ht="12.75" customHeight="1" x14ac:dyDescent="0.3">
      <c r="H307" s="366"/>
      <c r="I307" s="366"/>
    </row>
    <row r="308" spans="8:9" ht="12.75" customHeight="1" x14ac:dyDescent="0.3">
      <c r="H308" s="366"/>
      <c r="I308" s="366"/>
    </row>
    <row r="309" spans="8:9" ht="12.75" customHeight="1" x14ac:dyDescent="0.3">
      <c r="H309" s="366"/>
      <c r="I309" s="366"/>
    </row>
    <row r="310" spans="8:9" ht="12.75" customHeight="1" x14ac:dyDescent="0.3">
      <c r="H310" s="366"/>
      <c r="I310" s="366"/>
    </row>
    <row r="311" spans="8:9" ht="12.75" customHeight="1" x14ac:dyDescent="0.3">
      <c r="H311" s="366"/>
      <c r="I311" s="366"/>
    </row>
    <row r="312" spans="8:9" ht="12.75" customHeight="1" x14ac:dyDescent="0.3">
      <c r="H312" s="366"/>
      <c r="I312" s="366"/>
    </row>
    <row r="313" spans="8:9" ht="12.75" customHeight="1" x14ac:dyDescent="0.3">
      <c r="H313" s="366"/>
      <c r="I313" s="366"/>
    </row>
    <row r="314" spans="8:9" ht="12.75" customHeight="1" x14ac:dyDescent="0.3">
      <c r="H314" s="366"/>
      <c r="I314" s="366"/>
    </row>
    <row r="315" spans="8:9" ht="12.75" customHeight="1" x14ac:dyDescent="0.3">
      <c r="H315" s="366"/>
      <c r="I315" s="366"/>
    </row>
    <row r="316" spans="8:9" ht="12.75" customHeight="1" x14ac:dyDescent="0.3">
      <c r="H316" s="366"/>
      <c r="I316" s="366"/>
    </row>
    <row r="317" spans="8:9" ht="12.75" customHeight="1" x14ac:dyDescent="0.3">
      <c r="H317" s="366"/>
      <c r="I317" s="366"/>
    </row>
    <row r="318" spans="8:9" ht="12.75" customHeight="1" x14ac:dyDescent="0.3">
      <c r="H318" s="366"/>
      <c r="I318" s="366"/>
    </row>
    <row r="319" spans="8:9" ht="12.75" customHeight="1" x14ac:dyDescent="0.3">
      <c r="H319" s="366"/>
      <c r="I319" s="366"/>
    </row>
    <row r="320" spans="8:9" ht="12.75" customHeight="1" x14ac:dyDescent="0.3">
      <c r="H320" s="366"/>
      <c r="I320" s="366"/>
    </row>
    <row r="321" spans="8:9" ht="12.75" customHeight="1" x14ac:dyDescent="0.3">
      <c r="H321" s="366"/>
      <c r="I321" s="366"/>
    </row>
    <row r="322" spans="8:9" ht="12.75" customHeight="1" x14ac:dyDescent="0.3">
      <c r="H322" s="366"/>
      <c r="I322" s="366"/>
    </row>
    <row r="323" spans="8:9" ht="12.75" customHeight="1" x14ac:dyDescent="0.3">
      <c r="H323" s="366"/>
      <c r="I323" s="366"/>
    </row>
    <row r="324" spans="8:9" ht="12.75" customHeight="1" x14ac:dyDescent="0.3">
      <c r="H324" s="366"/>
      <c r="I324" s="366"/>
    </row>
    <row r="325" spans="8:9" ht="15.75" customHeight="1" x14ac:dyDescent="0.3"/>
    <row r="326" spans="8:9" ht="15.75" customHeight="1" x14ac:dyDescent="0.3"/>
    <row r="327" spans="8:9" ht="15.75" customHeight="1" x14ac:dyDescent="0.3"/>
    <row r="328" spans="8:9" ht="15.75" customHeight="1" x14ac:dyDescent="0.3"/>
    <row r="329" spans="8:9" ht="15.75" customHeight="1" x14ac:dyDescent="0.3"/>
    <row r="330" spans="8:9" ht="15.75" customHeight="1" x14ac:dyDescent="0.3"/>
    <row r="331" spans="8:9" ht="15.75" customHeight="1" x14ac:dyDescent="0.3"/>
    <row r="332" spans="8:9" ht="15.75" customHeight="1" x14ac:dyDescent="0.3"/>
    <row r="333" spans="8:9" ht="15.75" customHeight="1" x14ac:dyDescent="0.3"/>
    <row r="334" spans="8:9" ht="15.75" customHeight="1" x14ac:dyDescent="0.3"/>
    <row r="335" spans="8:9" ht="15.75" customHeight="1" x14ac:dyDescent="0.3"/>
    <row r="336" spans="8:9"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2">
    <mergeCell ref="B103:D103"/>
    <mergeCell ref="E103:F103"/>
    <mergeCell ref="B115:D115"/>
    <mergeCell ref="E115:F115"/>
    <mergeCell ref="B36:D36"/>
    <mergeCell ref="B47:D47"/>
    <mergeCell ref="E47:F47"/>
    <mergeCell ref="B59:D59"/>
    <mergeCell ref="E59:F59"/>
    <mergeCell ref="B70:D70"/>
    <mergeCell ref="E70:F70"/>
    <mergeCell ref="E36:F36"/>
    <mergeCell ref="B81:D81"/>
    <mergeCell ref="E81:F81"/>
    <mergeCell ref="B92:D92"/>
    <mergeCell ref="E92:F92"/>
    <mergeCell ref="B3:D3"/>
    <mergeCell ref="E3:F3"/>
    <mergeCell ref="B14:D14"/>
    <mergeCell ref="E14:F14"/>
    <mergeCell ref="B25:D25"/>
    <mergeCell ref="E25:F25"/>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1000"/>
  <sheetViews>
    <sheetView workbookViewId="0"/>
  </sheetViews>
  <sheetFormatPr defaultColWidth="14.3984375" defaultRowHeight="15" customHeight="1" x14ac:dyDescent="0.3"/>
  <cols>
    <col min="1" max="1" width="34.09765625" customWidth="1"/>
    <col min="2" max="2" width="28.8984375" customWidth="1"/>
    <col min="3" max="3" width="22.8984375" customWidth="1"/>
    <col min="4" max="4" width="28.8984375" customWidth="1"/>
    <col min="5" max="5" width="21.69921875" customWidth="1"/>
    <col min="6" max="6" width="18.8984375" customWidth="1"/>
    <col min="7" max="26" width="8.69921875" customWidth="1"/>
  </cols>
  <sheetData>
    <row r="1" spans="1:7" ht="12.75" customHeight="1" x14ac:dyDescent="0.3"/>
    <row r="2" spans="1:7" ht="12.75" customHeight="1" x14ac:dyDescent="0.3"/>
    <row r="3" spans="1:7" ht="12.75" customHeight="1" x14ac:dyDescent="0.3">
      <c r="A3" s="366" t="s">
        <v>472</v>
      </c>
      <c r="B3" s="366" t="s">
        <v>473</v>
      </c>
      <c r="C3" s="16" t="s">
        <v>474</v>
      </c>
      <c r="D3" s="16" t="s">
        <v>475</v>
      </c>
      <c r="E3" s="16" t="s">
        <v>476</v>
      </c>
      <c r="F3" s="16" t="s">
        <v>477</v>
      </c>
    </row>
    <row r="4" spans="1:7" ht="12.75" customHeight="1" x14ac:dyDescent="0.3">
      <c r="A4" s="406" t="s">
        <v>62</v>
      </c>
      <c r="B4" s="407">
        <v>461011.35</v>
      </c>
      <c r="C4" s="407">
        <v>62035</v>
      </c>
      <c r="D4" s="407">
        <v>603162.64999999991</v>
      </c>
      <c r="E4" s="407">
        <v>16.93683870967746</v>
      </c>
      <c r="F4" s="407">
        <v>22.405655161290312</v>
      </c>
    </row>
    <row r="5" spans="1:7" ht="12.75" customHeight="1" x14ac:dyDescent="0.3">
      <c r="A5" s="406" t="s">
        <v>95</v>
      </c>
      <c r="B5" s="407">
        <v>234702.75</v>
      </c>
      <c r="C5" s="407">
        <v>28447</v>
      </c>
      <c r="D5" s="407">
        <v>279033.81</v>
      </c>
      <c r="E5" s="407">
        <v>12.433253012048196</v>
      </c>
      <c r="F5" s="407">
        <v>17.914240963855423</v>
      </c>
      <c r="G5" s="407"/>
    </row>
    <row r="6" spans="1:7" ht="12.75" customHeight="1" x14ac:dyDescent="0.3">
      <c r="A6" s="406" t="s">
        <v>97</v>
      </c>
      <c r="B6" s="407">
        <v>0</v>
      </c>
      <c r="C6" s="407">
        <v>0</v>
      </c>
      <c r="D6" s="407">
        <v>0</v>
      </c>
      <c r="E6" s="407">
        <v>8.8704545454545496</v>
      </c>
      <c r="F6" s="407">
        <v>12.158854545454545</v>
      </c>
      <c r="G6" s="407"/>
    </row>
    <row r="7" spans="1:7" ht="12.75" customHeight="1" x14ac:dyDescent="0.3">
      <c r="A7" s="406" t="s">
        <v>93</v>
      </c>
      <c r="B7" s="407">
        <v>99999</v>
      </c>
      <c r="C7" s="407">
        <v>9756</v>
      </c>
      <c r="D7" s="407">
        <v>120718.73999999999</v>
      </c>
      <c r="E7" s="407">
        <v>15.99</v>
      </c>
      <c r="F7" s="407">
        <v>14.054944444444446</v>
      </c>
      <c r="G7" s="407"/>
    </row>
    <row r="8" spans="1:7" ht="12.75" customHeight="1" x14ac:dyDescent="0.3">
      <c r="A8" s="406" t="s">
        <v>276</v>
      </c>
      <c r="B8" s="407">
        <v>0</v>
      </c>
      <c r="C8" s="407">
        <v>0</v>
      </c>
      <c r="D8" s="407">
        <v>0</v>
      </c>
      <c r="E8" s="407">
        <v>58.245789473684212</v>
      </c>
      <c r="F8" s="407">
        <v>72.384736842105269</v>
      </c>
      <c r="G8" s="407"/>
    </row>
    <row r="9" spans="1:7" ht="12.75" customHeight="1" x14ac:dyDescent="0.3">
      <c r="A9" s="406" t="s">
        <v>96</v>
      </c>
      <c r="B9" s="407">
        <v>126309.6</v>
      </c>
      <c r="C9" s="407">
        <v>23832</v>
      </c>
      <c r="D9" s="407">
        <v>203410.1</v>
      </c>
      <c r="E9" s="407">
        <v>5.2394736842105258</v>
      </c>
      <c r="F9" s="407">
        <v>9.1858114035087741</v>
      </c>
      <c r="G9" s="407"/>
    </row>
    <row r="10" spans="1:7" ht="12.75" customHeight="1" x14ac:dyDescent="0.3">
      <c r="A10" s="406" t="s">
        <v>63</v>
      </c>
      <c r="B10" s="407">
        <v>1480555.8900000006</v>
      </c>
      <c r="C10" s="407">
        <v>19099</v>
      </c>
      <c r="D10" s="407">
        <v>2052245.7899999998</v>
      </c>
      <c r="E10" s="407">
        <v>54.54552995391694</v>
      </c>
      <c r="F10" s="407">
        <v>93.029511520737373</v>
      </c>
      <c r="G10" s="407"/>
    </row>
    <row r="11" spans="1:7" ht="12.75" customHeight="1" x14ac:dyDescent="0.3">
      <c r="A11" s="406" t="s">
        <v>198</v>
      </c>
      <c r="B11" s="407">
        <v>8369.76</v>
      </c>
      <c r="C11" s="407">
        <v>407</v>
      </c>
      <c r="D11" s="407">
        <v>17707.760000000002</v>
      </c>
      <c r="E11" s="407">
        <v>20.459508196721309</v>
      </c>
      <c r="F11" s="407">
        <v>48.755661202185806</v>
      </c>
      <c r="G11" s="407"/>
    </row>
    <row r="12" spans="1:7" ht="12.75" customHeight="1" x14ac:dyDescent="0.3">
      <c r="A12" s="406" t="s">
        <v>148</v>
      </c>
      <c r="B12" s="407">
        <v>0</v>
      </c>
      <c r="C12" s="407">
        <v>0</v>
      </c>
      <c r="D12" s="407">
        <v>0</v>
      </c>
      <c r="E12" s="407">
        <v>727.78399999999988</v>
      </c>
      <c r="F12" s="407">
        <v>1025.8666666666666</v>
      </c>
      <c r="G12" s="407"/>
    </row>
    <row r="13" spans="1:7" ht="12.75" customHeight="1" x14ac:dyDescent="0.3">
      <c r="A13" s="406" t="s">
        <v>199</v>
      </c>
      <c r="B13" s="407">
        <v>10809.78</v>
      </c>
      <c r="C13" s="407">
        <v>432</v>
      </c>
      <c r="D13" s="407">
        <v>24774.260000000002</v>
      </c>
      <c r="E13" s="407">
        <v>25.100999999999996</v>
      </c>
      <c r="F13" s="407">
        <v>55.926000000000009</v>
      </c>
      <c r="G13" s="407"/>
    </row>
    <row r="14" spans="1:7" ht="12.75" customHeight="1" x14ac:dyDescent="0.3">
      <c r="A14" s="406" t="s">
        <v>147</v>
      </c>
      <c r="B14" s="407">
        <v>1055553.6000000001</v>
      </c>
      <c r="C14" s="407">
        <v>2525</v>
      </c>
      <c r="D14" s="407">
        <v>1323660.3500000001</v>
      </c>
      <c r="E14" s="407">
        <v>316.346</v>
      </c>
      <c r="F14" s="407">
        <v>498.637</v>
      </c>
      <c r="G14" s="407"/>
    </row>
    <row r="15" spans="1:7" ht="12.75" customHeight="1" x14ac:dyDescent="0.3">
      <c r="A15" s="406" t="s">
        <v>145</v>
      </c>
      <c r="B15" s="407">
        <v>141687.54</v>
      </c>
      <c r="C15" s="407">
        <v>13854</v>
      </c>
      <c r="D15" s="407">
        <v>299408.63999999996</v>
      </c>
      <c r="E15" s="407">
        <v>11.33518072289159</v>
      </c>
      <c r="F15" s="407">
        <v>21.016759036144574</v>
      </c>
      <c r="G15" s="407"/>
    </row>
    <row r="16" spans="1:7" ht="12.75" customHeight="1" x14ac:dyDescent="0.3">
      <c r="A16" s="406" t="s">
        <v>146</v>
      </c>
      <c r="B16" s="407">
        <v>24975.15</v>
      </c>
      <c r="C16" s="407">
        <v>465</v>
      </c>
      <c r="D16" s="407">
        <v>52452</v>
      </c>
      <c r="E16" s="407">
        <v>53.71</v>
      </c>
      <c r="F16" s="407">
        <v>112.8</v>
      </c>
      <c r="G16" s="407"/>
    </row>
    <row r="17" spans="1:7" ht="12.75" customHeight="1" x14ac:dyDescent="0.3">
      <c r="A17" s="406" t="s">
        <v>153</v>
      </c>
      <c r="B17" s="407">
        <v>16420.68</v>
      </c>
      <c r="C17" s="407">
        <v>726</v>
      </c>
      <c r="D17" s="407">
        <v>14946</v>
      </c>
      <c r="E17" s="407">
        <v>22.889230769230771</v>
      </c>
      <c r="F17" s="407">
        <v>24.865666666666662</v>
      </c>
      <c r="G17" s="407"/>
    </row>
    <row r="18" spans="1:7" ht="12.75" customHeight="1" x14ac:dyDescent="0.3">
      <c r="A18" s="406" t="s">
        <v>149</v>
      </c>
      <c r="B18" s="407">
        <v>222739.38</v>
      </c>
      <c r="C18" s="407">
        <v>690</v>
      </c>
      <c r="D18" s="407">
        <v>319296.77999999997</v>
      </c>
      <c r="E18" s="407">
        <v>205.96875</v>
      </c>
      <c r="F18" s="407">
        <v>463.92416666666668</v>
      </c>
      <c r="G18" s="407"/>
    </row>
    <row r="19" spans="1:7" ht="12.75" customHeight="1" x14ac:dyDescent="0.3">
      <c r="A19" s="406" t="s">
        <v>64</v>
      </c>
      <c r="B19" s="407">
        <v>1295394.05</v>
      </c>
      <c r="C19" s="407">
        <v>3709</v>
      </c>
      <c r="D19" s="407">
        <v>2196815.46</v>
      </c>
      <c r="E19" s="407">
        <v>120.9912958715596</v>
      </c>
      <c r="F19" s="407">
        <v>322.63218426559064</v>
      </c>
      <c r="G19" s="407"/>
    </row>
    <row r="20" spans="1:7" ht="12.75" customHeight="1" x14ac:dyDescent="0.3">
      <c r="A20" s="406" t="s">
        <v>173</v>
      </c>
      <c r="B20" s="407">
        <v>49919.61</v>
      </c>
      <c r="C20" s="407">
        <v>93</v>
      </c>
      <c r="D20" s="407">
        <v>83213</v>
      </c>
      <c r="E20" s="407">
        <v>536.77</v>
      </c>
      <c r="F20" s="407">
        <v>894.33333333333337</v>
      </c>
      <c r="G20" s="407"/>
    </row>
    <row r="21" spans="1:7" ht="12.75" customHeight="1" x14ac:dyDescent="0.3">
      <c r="A21" s="406" t="s">
        <v>172</v>
      </c>
      <c r="B21" s="407">
        <v>132895.44</v>
      </c>
      <c r="C21" s="407">
        <v>1201</v>
      </c>
      <c r="D21" s="407">
        <v>298881.8</v>
      </c>
      <c r="E21" s="407">
        <v>73.329285714285717</v>
      </c>
      <c r="F21" s="407">
        <v>179.48375000000001</v>
      </c>
      <c r="G21" s="407"/>
    </row>
    <row r="22" spans="1:7" ht="12.75" customHeight="1" x14ac:dyDescent="0.3">
      <c r="A22" s="406" t="s">
        <v>165</v>
      </c>
      <c r="B22" s="407">
        <v>214894</v>
      </c>
      <c r="C22" s="407">
        <v>1796</v>
      </c>
      <c r="D22" s="407">
        <v>491804.66000000003</v>
      </c>
      <c r="E22" s="407">
        <v>108.33631720430108</v>
      </c>
      <c r="F22" s="407">
        <v>311.34151166612247</v>
      </c>
      <c r="G22" s="407"/>
    </row>
    <row r="23" spans="1:7" ht="12.75" customHeight="1" x14ac:dyDescent="0.3">
      <c r="A23" s="406" t="s">
        <v>166</v>
      </c>
      <c r="B23" s="407">
        <v>897685</v>
      </c>
      <c r="C23" s="407">
        <v>619</v>
      </c>
      <c r="D23" s="407">
        <v>1322916</v>
      </c>
      <c r="E23" s="407">
        <v>1159.9230769230769</v>
      </c>
      <c r="F23" s="407">
        <v>2070.1538461538462</v>
      </c>
      <c r="G23" s="407"/>
    </row>
    <row r="24" spans="1:7" ht="12.75" customHeight="1" x14ac:dyDescent="0.3">
      <c r="A24" s="406" t="s">
        <v>443</v>
      </c>
      <c r="B24" s="407">
        <v>3236961.29</v>
      </c>
      <c r="C24" s="407">
        <v>84843</v>
      </c>
      <c r="D24" s="407">
        <v>4852223.8999999994</v>
      </c>
      <c r="E24" s="407">
        <v>96.435691318327954</v>
      </c>
      <c r="F24" s="407">
        <v>245.17326786944935</v>
      </c>
      <c r="G24" s="407"/>
    </row>
    <row r="25" spans="1:7" ht="12.75" customHeight="1" x14ac:dyDescent="0.3"/>
    <row r="26" spans="1:7" ht="12.75" customHeight="1" x14ac:dyDescent="0.3"/>
    <row r="27" spans="1:7" ht="12.75" customHeight="1" x14ac:dyDescent="0.3"/>
    <row r="28" spans="1:7" ht="12.75" customHeight="1" x14ac:dyDescent="0.3"/>
    <row r="29" spans="1:7" ht="12.75" customHeight="1" x14ac:dyDescent="0.3"/>
    <row r="30" spans="1:7" ht="12.75" customHeight="1" x14ac:dyDescent="0.3"/>
    <row r="31" spans="1:7" ht="12.75" customHeight="1" x14ac:dyDescent="0.3"/>
    <row r="32" spans="1:7" ht="12.75" customHeight="1" x14ac:dyDescent="0.3"/>
    <row r="33" ht="12.75" customHeight="1" x14ac:dyDescent="0.3"/>
    <row r="34" ht="12.75" customHeight="1" x14ac:dyDescent="0.3"/>
    <row r="35" ht="12.75" customHeight="1" x14ac:dyDescent="0.3"/>
    <row r="36" ht="12.75" customHeight="1" x14ac:dyDescent="0.3"/>
    <row r="37" ht="12.75" customHeight="1" x14ac:dyDescent="0.3"/>
    <row r="38" ht="12.75" customHeight="1" x14ac:dyDescent="0.3"/>
    <row r="39" ht="12.75" customHeight="1" x14ac:dyDescent="0.3"/>
    <row r="40" ht="12.75" customHeight="1" x14ac:dyDescent="0.3"/>
    <row r="41" ht="12.75" customHeight="1" x14ac:dyDescent="0.3"/>
    <row r="42" ht="12.75" customHeight="1" x14ac:dyDescent="0.3"/>
    <row r="43" ht="12.75" customHeight="1" x14ac:dyDescent="0.3"/>
    <row r="44" ht="12.75" customHeight="1" x14ac:dyDescent="0.3"/>
    <row r="45" ht="12.75" customHeight="1" x14ac:dyDescent="0.3"/>
    <row r="46" ht="12.75" customHeight="1" x14ac:dyDescent="0.3"/>
    <row r="47" ht="12.75" customHeight="1" x14ac:dyDescent="0.3"/>
    <row r="48"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1000"/>
  <sheetViews>
    <sheetView workbookViewId="0"/>
  </sheetViews>
  <sheetFormatPr defaultColWidth="14.3984375" defaultRowHeight="15" customHeight="1" x14ac:dyDescent="0.3"/>
  <cols>
    <col min="1" max="1" width="19.3984375" customWidth="1"/>
  </cols>
  <sheetData>
    <row r="1" spans="1:26" ht="15" customHeight="1" x14ac:dyDescent="0.3">
      <c r="A1" s="408" t="s">
        <v>62</v>
      </c>
      <c r="B1" s="409"/>
      <c r="C1" s="409"/>
      <c r="D1" s="409"/>
      <c r="E1" s="409"/>
      <c r="F1" s="409"/>
      <c r="G1" s="409"/>
      <c r="H1" s="409"/>
      <c r="I1" s="409"/>
      <c r="J1" s="409"/>
      <c r="K1" s="409"/>
      <c r="L1" s="409"/>
      <c r="M1" s="409"/>
      <c r="N1" s="409"/>
      <c r="O1" s="409"/>
      <c r="P1" s="409"/>
      <c r="Q1" s="409"/>
      <c r="R1" s="409"/>
      <c r="S1" s="409"/>
      <c r="T1" s="409"/>
      <c r="U1" s="409"/>
      <c r="V1" s="409"/>
      <c r="W1" s="409"/>
      <c r="X1" s="409"/>
      <c r="Y1" s="409"/>
      <c r="Z1" s="409"/>
    </row>
    <row r="2" spans="1:26" ht="15" customHeight="1" x14ac:dyDescent="0.3">
      <c r="A2" s="410" t="s">
        <v>478</v>
      </c>
      <c r="B2" s="411"/>
      <c r="C2" s="411"/>
      <c r="D2" s="411"/>
      <c r="E2" s="411"/>
      <c r="F2" s="411"/>
      <c r="G2" s="411"/>
      <c r="H2" s="411"/>
      <c r="I2" s="411"/>
      <c r="J2" s="411"/>
      <c r="K2" s="411"/>
      <c r="L2" s="409"/>
      <c r="M2" s="409"/>
      <c r="N2" s="409"/>
      <c r="O2" s="409"/>
      <c r="P2" s="409"/>
      <c r="Q2" s="409"/>
      <c r="R2" s="409"/>
      <c r="S2" s="409"/>
      <c r="T2" s="409"/>
      <c r="U2" s="409"/>
      <c r="V2" s="409"/>
      <c r="W2" s="409"/>
      <c r="X2" s="409"/>
      <c r="Y2" s="409"/>
      <c r="Z2" s="409"/>
    </row>
    <row r="3" spans="1:26" ht="48.75" customHeight="1" x14ac:dyDescent="0.3">
      <c r="A3" s="412" t="s">
        <v>472</v>
      </c>
      <c r="B3" s="413" t="s">
        <v>479</v>
      </c>
      <c r="C3" s="414" t="s">
        <v>446</v>
      </c>
      <c r="D3" s="414" t="s">
        <v>480</v>
      </c>
      <c r="E3" s="415" t="s">
        <v>459</v>
      </c>
      <c r="F3" s="415" t="s">
        <v>481</v>
      </c>
      <c r="G3" s="416" t="s">
        <v>482</v>
      </c>
      <c r="H3" s="417" t="s">
        <v>461</v>
      </c>
      <c r="I3" s="417" t="s">
        <v>463</v>
      </c>
      <c r="J3" s="417" t="s">
        <v>483</v>
      </c>
      <c r="K3" s="417" t="s">
        <v>484</v>
      </c>
      <c r="L3" s="418" t="s">
        <v>485</v>
      </c>
      <c r="M3" s="418" t="s">
        <v>486</v>
      </c>
      <c r="N3" s="417" t="s">
        <v>487</v>
      </c>
      <c r="O3" s="417" t="s">
        <v>488</v>
      </c>
      <c r="P3" s="409"/>
      <c r="Q3" s="409"/>
      <c r="R3" s="409"/>
      <c r="S3" s="409"/>
      <c r="T3" s="409"/>
      <c r="U3" s="409"/>
      <c r="V3" s="409"/>
      <c r="W3" s="409"/>
      <c r="X3" s="409"/>
      <c r="Y3" s="409"/>
      <c r="Z3" s="409"/>
    </row>
    <row r="4" spans="1:26" ht="15" customHeight="1" x14ac:dyDescent="0.3">
      <c r="A4" s="374" t="s">
        <v>93</v>
      </c>
      <c r="B4" s="419">
        <v>0</v>
      </c>
      <c r="C4" s="420">
        <v>15212</v>
      </c>
      <c r="D4" s="421">
        <v>0</v>
      </c>
      <c r="E4" s="420">
        <v>28091</v>
      </c>
      <c r="F4" s="421">
        <v>0</v>
      </c>
      <c r="G4" s="421">
        <v>0.54</v>
      </c>
      <c r="H4" s="422">
        <v>122278</v>
      </c>
      <c r="I4" s="422">
        <v>93315</v>
      </c>
      <c r="J4" s="422">
        <v>133795</v>
      </c>
      <c r="K4" s="422">
        <v>48949</v>
      </c>
      <c r="L4" s="423">
        <f t="shared" ref="L4:L12" si="0">H4/C4</f>
        <v>8.0382592689981589</v>
      </c>
      <c r="M4" s="423">
        <f t="shared" ref="M4:M12" si="1">I4/C4</f>
        <v>6.1343018669471467</v>
      </c>
      <c r="N4" s="423">
        <f t="shared" ref="N4:O4" si="2">J4/$C4</f>
        <v>8.7953589271627663</v>
      </c>
      <c r="O4" s="423">
        <f t="shared" si="2"/>
        <v>3.2177885879568762</v>
      </c>
      <c r="P4" s="409"/>
      <c r="Q4" s="409"/>
      <c r="R4" s="409"/>
      <c r="S4" s="409"/>
      <c r="T4" s="409"/>
      <c r="U4" s="409"/>
      <c r="V4" s="409"/>
      <c r="W4" s="409"/>
      <c r="X4" s="409"/>
      <c r="Y4" s="409"/>
      <c r="Z4" s="409"/>
    </row>
    <row r="5" spans="1:26" ht="40.5" customHeight="1" x14ac:dyDescent="0.3">
      <c r="A5" s="374" t="s">
        <v>95</v>
      </c>
      <c r="B5" s="419">
        <v>0</v>
      </c>
      <c r="C5" s="420">
        <v>57280</v>
      </c>
      <c r="D5" s="421">
        <v>0</v>
      </c>
      <c r="E5" s="420">
        <v>103103</v>
      </c>
      <c r="F5" s="421">
        <v>0</v>
      </c>
      <c r="G5" s="424">
        <v>0.56000000000000005</v>
      </c>
      <c r="H5" s="422">
        <v>431226</v>
      </c>
      <c r="I5" s="422">
        <v>130536</v>
      </c>
      <c r="J5" s="422">
        <v>476829</v>
      </c>
      <c r="K5" s="422">
        <v>185781</v>
      </c>
      <c r="L5" s="423">
        <f t="shared" si="0"/>
        <v>7.5283868715083795</v>
      </c>
      <c r="M5" s="423">
        <f t="shared" si="1"/>
        <v>2.2789106145251399</v>
      </c>
      <c r="N5" s="423">
        <f t="shared" ref="N5:O5" si="3">J5/$C5</f>
        <v>8.3245286312849167</v>
      </c>
      <c r="O5" s="423">
        <f t="shared" si="3"/>
        <v>3.2433833798882681</v>
      </c>
      <c r="P5" s="409"/>
      <c r="Q5" s="409"/>
      <c r="R5" s="409"/>
      <c r="S5" s="409"/>
      <c r="T5" s="409"/>
      <c r="U5" s="409"/>
      <c r="V5" s="409"/>
      <c r="W5" s="409"/>
      <c r="X5" s="409"/>
      <c r="Y5" s="409"/>
      <c r="Z5" s="409"/>
    </row>
    <row r="6" spans="1:26" ht="15" customHeight="1" x14ac:dyDescent="0.3">
      <c r="A6" s="374" t="s">
        <v>96</v>
      </c>
      <c r="B6" s="419">
        <v>0</v>
      </c>
      <c r="C6" s="420">
        <v>139381</v>
      </c>
      <c r="D6" s="421">
        <v>0</v>
      </c>
      <c r="E6" s="420">
        <v>51593</v>
      </c>
      <c r="F6" s="421">
        <v>0</v>
      </c>
      <c r="G6" s="421">
        <v>2.7</v>
      </c>
      <c r="H6" s="422">
        <v>749592</v>
      </c>
      <c r="I6" s="422">
        <v>442197</v>
      </c>
      <c r="J6" s="422">
        <v>-492501</v>
      </c>
      <c r="K6" s="422">
        <v>-308240</v>
      </c>
      <c r="L6" s="423">
        <f t="shared" si="0"/>
        <v>5.3780070454366093</v>
      </c>
      <c r="M6" s="423">
        <f t="shared" si="1"/>
        <v>3.1725773240255126</v>
      </c>
      <c r="N6" s="423">
        <f t="shared" ref="N6:O6" si="4">J6/$C6</f>
        <v>-3.5334873476298778</v>
      </c>
      <c r="O6" s="423">
        <f t="shared" si="4"/>
        <v>-2.2114922406927775</v>
      </c>
      <c r="P6" s="409"/>
      <c r="Q6" s="409"/>
      <c r="R6" s="409"/>
      <c r="S6" s="409"/>
      <c r="T6" s="409"/>
      <c r="U6" s="409"/>
      <c r="V6" s="409"/>
      <c r="W6" s="409"/>
      <c r="X6" s="409"/>
      <c r="Y6" s="409"/>
      <c r="Z6" s="409"/>
    </row>
    <row r="7" spans="1:26" ht="28.5" customHeight="1" x14ac:dyDescent="0.3">
      <c r="A7" s="374" t="s">
        <v>97</v>
      </c>
      <c r="B7" s="419">
        <v>0</v>
      </c>
      <c r="C7" s="419">
        <v>0</v>
      </c>
      <c r="D7" s="421">
        <v>0</v>
      </c>
      <c r="E7" s="420">
        <v>2004</v>
      </c>
      <c r="F7" s="421">
        <v>0</v>
      </c>
      <c r="G7" s="421">
        <v>0</v>
      </c>
      <c r="H7" s="422">
        <v>0</v>
      </c>
      <c r="I7" s="422">
        <v>0</v>
      </c>
      <c r="J7" s="422">
        <v>16526</v>
      </c>
      <c r="K7" s="422">
        <v>3208</v>
      </c>
      <c r="L7" s="423" t="e">
        <f t="shared" si="0"/>
        <v>#DIV/0!</v>
      </c>
      <c r="M7" s="423" t="e">
        <f t="shared" si="1"/>
        <v>#DIV/0!</v>
      </c>
      <c r="N7" s="423" t="e">
        <f t="shared" ref="N7:O7" si="5">J7/$C7</f>
        <v>#DIV/0!</v>
      </c>
      <c r="O7" s="423" t="e">
        <f t="shared" si="5"/>
        <v>#DIV/0!</v>
      </c>
      <c r="P7" s="409"/>
      <c r="Q7" s="409"/>
      <c r="R7" s="409"/>
      <c r="S7" s="409"/>
      <c r="T7" s="409"/>
      <c r="U7" s="409"/>
      <c r="V7" s="409"/>
      <c r="W7" s="409"/>
      <c r="X7" s="409"/>
      <c r="Y7" s="409"/>
      <c r="Z7" s="409"/>
    </row>
    <row r="8" spans="1:26" ht="36" customHeight="1" x14ac:dyDescent="0.3">
      <c r="A8" s="374" t="s">
        <v>98</v>
      </c>
      <c r="B8" s="419">
        <v>0</v>
      </c>
      <c r="C8" s="419">
        <v>85</v>
      </c>
      <c r="D8" s="421">
        <v>0</v>
      </c>
      <c r="E8" s="420">
        <v>1918</v>
      </c>
      <c r="F8" s="421">
        <v>0</v>
      </c>
      <c r="G8" s="421">
        <v>0.04</v>
      </c>
      <c r="H8" s="422">
        <v>383</v>
      </c>
      <c r="I8" s="422">
        <v>0</v>
      </c>
      <c r="J8" s="422">
        <v>0</v>
      </c>
      <c r="K8" s="422">
        <v>0</v>
      </c>
      <c r="L8" s="423">
        <f t="shared" si="0"/>
        <v>4.5058823529411764</v>
      </c>
      <c r="M8" s="423">
        <f t="shared" si="1"/>
        <v>0</v>
      </c>
      <c r="N8" s="423">
        <f t="shared" ref="N8:O8" si="6">J8/$C8</f>
        <v>0</v>
      </c>
      <c r="O8" s="423">
        <f t="shared" si="6"/>
        <v>0</v>
      </c>
      <c r="P8" s="409"/>
      <c r="Q8" s="409"/>
      <c r="R8" s="409"/>
      <c r="S8" s="409"/>
      <c r="T8" s="409"/>
      <c r="U8" s="409"/>
      <c r="V8" s="409"/>
      <c r="W8" s="409"/>
      <c r="X8" s="409"/>
      <c r="Y8" s="409"/>
      <c r="Z8" s="409"/>
    </row>
    <row r="9" spans="1:26" ht="31.5" customHeight="1" x14ac:dyDescent="0.3">
      <c r="A9" s="374" t="s">
        <v>275</v>
      </c>
      <c r="B9" s="419">
        <v>0</v>
      </c>
      <c r="C9" s="420">
        <v>2180</v>
      </c>
      <c r="D9" s="421">
        <v>0</v>
      </c>
      <c r="E9" s="420">
        <v>18704</v>
      </c>
      <c r="F9" s="421">
        <v>0</v>
      </c>
      <c r="G9" s="421">
        <v>0.12</v>
      </c>
      <c r="H9" s="422">
        <v>4055</v>
      </c>
      <c r="I9" s="422">
        <v>0</v>
      </c>
      <c r="J9" s="422">
        <v>0</v>
      </c>
      <c r="K9" s="422">
        <v>0</v>
      </c>
      <c r="L9" s="423">
        <f t="shared" si="0"/>
        <v>1.8600917431192661</v>
      </c>
      <c r="M9" s="423">
        <f t="shared" si="1"/>
        <v>0</v>
      </c>
      <c r="N9" s="423">
        <f t="shared" ref="N9:O9" si="7">J9/$C9</f>
        <v>0</v>
      </c>
      <c r="O9" s="423">
        <f t="shared" si="7"/>
        <v>0</v>
      </c>
      <c r="P9" s="409"/>
      <c r="Q9" s="409"/>
      <c r="R9" s="409"/>
      <c r="S9" s="409"/>
      <c r="T9" s="409"/>
      <c r="U9" s="409"/>
      <c r="V9" s="409"/>
      <c r="W9" s="409"/>
      <c r="X9" s="409"/>
      <c r="Y9" s="409"/>
      <c r="Z9" s="409"/>
    </row>
    <row r="10" spans="1:26" ht="30.75" customHeight="1" x14ac:dyDescent="0.3">
      <c r="A10" s="374" t="s">
        <v>276</v>
      </c>
      <c r="B10" s="419">
        <v>0</v>
      </c>
      <c r="C10" s="419">
        <v>0</v>
      </c>
      <c r="D10" s="421">
        <v>0</v>
      </c>
      <c r="E10" s="420">
        <v>2543</v>
      </c>
      <c r="F10" s="421">
        <v>0</v>
      </c>
      <c r="G10" s="421">
        <v>0</v>
      </c>
      <c r="H10" s="422">
        <v>0</v>
      </c>
      <c r="I10" s="422">
        <v>0</v>
      </c>
      <c r="J10" s="422">
        <v>151817</v>
      </c>
      <c r="K10" s="422">
        <v>38263</v>
      </c>
      <c r="L10" s="423" t="e">
        <f t="shared" si="0"/>
        <v>#DIV/0!</v>
      </c>
      <c r="M10" s="423" t="e">
        <f t="shared" si="1"/>
        <v>#DIV/0!</v>
      </c>
      <c r="N10" s="423" t="e">
        <f t="shared" ref="N10:O10" si="8">J10/$C10</f>
        <v>#DIV/0!</v>
      </c>
      <c r="O10" s="423" t="e">
        <f t="shared" si="8"/>
        <v>#DIV/0!</v>
      </c>
      <c r="P10" s="409"/>
      <c r="Q10" s="409"/>
      <c r="R10" s="409"/>
      <c r="S10" s="409"/>
      <c r="T10" s="409"/>
      <c r="U10" s="409"/>
      <c r="V10" s="409"/>
      <c r="W10" s="409"/>
      <c r="X10" s="409"/>
      <c r="Y10" s="409"/>
      <c r="Z10" s="409"/>
    </row>
    <row r="11" spans="1:26" ht="15" customHeight="1" x14ac:dyDescent="0.3">
      <c r="A11" s="374" t="s">
        <v>489</v>
      </c>
      <c r="B11" s="419">
        <v>0</v>
      </c>
      <c r="C11" s="419">
        <v>0</v>
      </c>
      <c r="D11" s="421">
        <v>0</v>
      </c>
      <c r="E11" s="419">
        <v>4</v>
      </c>
      <c r="F11" s="421">
        <v>0</v>
      </c>
      <c r="G11" s="421">
        <v>0</v>
      </c>
      <c r="H11" s="422">
        <v>0</v>
      </c>
      <c r="I11" s="422">
        <v>0</v>
      </c>
      <c r="J11" s="422">
        <v>0</v>
      </c>
      <c r="K11" s="422">
        <v>0</v>
      </c>
      <c r="L11" s="423" t="e">
        <f t="shared" si="0"/>
        <v>#DIV/0!</v>
      </c>
      <c r="M11" s="423" t="e">
        <f t="shared" si="1"/>
        <v>#DIV/0!</v>
      </c>
      <c r="N11" s="423" t="e">
        <f t="shared" ref="N11:O11" si="9">J11/$C11</f>
        <v>#DIV/0!</v>
      </c>
      <c r="O11" s="423" t="e">
        <f t="shared" si="9"/>
        <v>#DIV/0!</v>
      </c>
      <c r="P11" s="409"/>
      <c r="Q11" s="409"/>
      <c r="R11" s="409"/>
      <c r="S11" s="409"/>
      <c r="T11" s="409"/>
      <c r="U11" s="409"/>
      <c r="V11" s="409"/>
      <c r="W11" s="409"/>
      <c r="X11" s="409"/>
      <c r="Y11" s="409"/>
      <c r="Z11" s="409"/>
    </row>
    <row r="12" spans="1:26" ht="15" customHeight="1" x14ac:dyDescent="0.3">
      <c r="A12" s="377" t="s">
        <v>443</v>
      </c>
      <c r="B12" s="417">
        <v>0</v>
      </c>
      <c r="C12" s="425">
        <v>214138</v>
      </c>
      <c r="D12" s="426">
        <v>0</v>
      </c>
      <c r="E12" s="425">
        <v>207960</v>
      </c>
      <c r="F12" s="426">
        <v>0</v>
      </c>
      <c r="G12" s="426">
        <v>1.03</v>
      </c>
      <c r="H12" s="427">
        <v>1307533</v>
      </c>
      <c r="I12" s="427">
        <v>666048</v>
      </c>
      <c r="J12" s="427">
        <v>286465</v>
      </c>
      <c r="K12" s="427">
        <v>-32039</v>
      </c>
      <c r="L12" s="423">
        <f t="shared" si="0"/>
        <v>6.1060297565121555</v>
      </c>
      <c r="M12" s="423">
        <f t="shared" si="1"/>
        <v>3.1103680803967535</v>
      </c>
      <c r="N12" s="423">
        <f t="shared" ref="N12:O12" si="10">J12/$C12</f>
        <v>1.3377588284190569</v>
      </c>
      <c r="O12" s="423">
        <f t="shared" si="10"/>
        <v>-0.14961847033221568</v>
      </c>
      <c r="P12" s="409"/>
      <c r="Q12" s="409"/>
      <c r="R12" s="409"/>
      <c r="S12" s="409"/>
      <c r="T12" s="409"/>
      <c r="U12" s="409"/>
      <c r="V12" s="409"/>
      <c r="W12" s="409"/>
      <c r="X12" s="409"/>
      <c r="Y12" s="409"/>
      <c r="Z12" s="409"/>
    </row>
    <row r="13" spans="1:26" ht="15" customHeight="1" x14ac:dyDescent="0.3">
      <c r="A13" s="409"/>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row>
    <row r="14" spans="1:26" ht="15" customHeight="1" x14ac:dyDescent="0.3">
      <c r="A14" s="410" t="s">
        <v>490</v>
      </c>
      <c r="B14" s="411"/>
      <c r="C14" s="411"/>
      <c r="D14" s="411"/>
      <c r="E14" s="411"/>
      <c r="F14" s="411"/>
      <c r="G14" s="411"/>
      <c r="H14" s="411"/>
      <c r="I14" s="411"/>
      <c r="J14" s="411"/>
      <c r="K14" s="411"/>
      <c r="L14" s="409"/>
      <c r="M14" s="409"/>
      <c r="N14" s="409"/>
      <c r="O14" s="409"/>
      <c r="P14" s="409"/>
      <c r="Q14" s="409"/>
      <c r="R14" s="409"/>
      <c r="S14" s="409"/>
      <c r="T14" s="409"/>
      <c r="U14" s="409"/>
      <c r="V14" s="409"/>
      <c r="W14" s="409"/>
      <c r="X14" s="409"/>
      <c r="Y14" s="409"/>
      <c r="Z14" s="409"/>
    </row>
    <row r="15" spans="1:26" ht="33" customHeight="1" x14ac:dyDescent="0.3">
      <c r="A15" s="412" t="s">
        <v>472</v>
      </c>
      <c r="B15" s="413" t="s">
        <v>479</v>
      </c>
      <c r="C15" s="414" t="s">
        <v>446</v>
      </c>
      <c r="D15" s="414" t="s">
        <v>480</v>
      </c>
      <c r="E15" s="415" t="s">
        <v>459</v>
      </c>
      <c r="F15" s="415" t="s">
        <v>481</v>
      </c>
      <c r="G15" s="416" t="s">
        <v>482</v>
      </c>
      <c r="H15" s="417" t="s">
        <v>461</v>
      </c>
      <c r="I15" s="417" t="s">
        <v>463</v>
      </c>
      <c r="J15" s="417" t="s">
        <v>483</v>
      </c>
      <c r="K15" s="417" t="s">
        <v>484</v>
      </c>
      <c r="L15" s="418" t="s">
        <v>485</v>
      </c>
      <c r="M15" s="418" t="s">
        <v>486</v>
      </c>
      <c r="N15" s="409"/>
      <c r="O15" s="409"/>
      <c r="P15" s="409"/>
      <c r="Q15" s="409"/>
      <c r="R15" s="409"/>
      <c r="S15" s="409"/>
      <c r="T15" s="409"/>
      <c r="U15" s="409"/>
      <c r="V15" s="409"/>
      <c r="W15" s="409"/>
      <c r="X15" s="409"/>
      <c r="Y15" s="409"/>
      <c r="Z15" s="409"/>
    </row>
    <row r="16" spans="1:26" ht="15" customHeight="1" x14ac:dyDescent="0.3">
      <c r="A16" s="374" t="s">
        <v>93</v>
      </c>
      <c r="B16" s="419">
        <v>0</v>
      </c>
      <c r="C16" s="420">
        <v>26535</v>
      </c>
      <c r="D16" s="421">
        <v>0</v>
      </c>
      <c r="E16" s="420">
        <v>22273</v>
      </c>
      <c r="F16" s="421">
        <v>0</v>
      </c>
      <c r="G16" s="421">
        <v>1.19</v>
      </c>
      <c r="H16" s="422">
        <v>242823</v>
      </c>
      <c r="I16" s="422">
        <v>130514</v>
      </c>
      <c r="J16" s="422">
        <v>-42045</v>
      </c>
      <c r="K16" s="422">
        <v>-16935</v>
      </c>
      <c r="L16" s="423">
        <f t="shared" ref="L16:L23" si="11">H16/C16</f>
        <v>9.1510457885811185</v>
      </c>
      <c r="M16" s="423">
        <f t="shared" ref="M16:M23" si="12">I16/C16</f>
        <v>4.9185603919351797</v>
      </c>
      <c r="N16" s="409"/>
      <c r="O16" s="409"/>
      <c r="P16" s="409"/>
      <c r="Q16" s="409"/>
      <c r="R16" s="409"/>
      <c r="S16" s="409"/>
      <c r="T16" s="409"/>
      <c r="U16" s="409"/>
      <c r="V16" s="409"/>
      <c r="W16" s="409"/>
      <c r="X16" s="409"/>
      <c r="Y16" s="409"/>
      <c r="Z16" s="409"/>
    </row>
    <row r="17" spans="1:26" ht="27" customHeight="1" x14ac:dyDescent="0.3">
      <c r="A17" s="374" t="s">
        <v>95</v>
      </c>
      <c r="B17" s="419">
        <v>0</v>
      </c>
      <c r="C17" s="420">
        <v>76435</v>
      </c>
      <c r="D17" s="421">
        <v>0</v>
      </c>
      <c r="E17" s="420">
        <v>84808</v>
      </c>
      <c r="F17" s="421">
        <v>0</v>
      </c>
      <c r="G17" s="421">
        <v>0.9</v>
      </c>
      <c r="H17" s="422">
        <v>642395</v>
      </c>
      <c r="I17" s="422">
        <v>106972</v>
      </c>
      <c r="J17" s="422">
        <v>156216</v>
      </c>
      <c r="K17" s="422">
        <v>102073</v>
      </c>
      <c r="L17" s="423">
        <f t="shared" si="11"/>
        <v>8.4044613069928698</v>
      </c>
      <c r="M17" s="423">
        <f t="shared" si="12"/>
        <v>1.399515928566756</v>
      </c>
      <c r="N17" s="409"/>
      <c r="O17" s="409"/>
      <c r="P17" s="409"/>
      <c r="Q17" s="409"/>
      <c r="R17" s="409"/>
      <c r="S17" s="409"/>
      <c r="T17" s="409"/>
      <c r="U17" s="409"/>
      <c r="V17" s="409"/>
      <c r="W17" s="409"/>
      <c r="X17" s="409"/>
      <c r="Y17" s="409"/>
      <c r="Z17" s="409"/>
    </row>
    <row r="18" spans="1:26" ht="13" x14ac:dyDescent="0.3">
      <c r="A18" s="374" t="s">
        <v>96</v>
      </c>
      <c r="B18" s="419">
        <v>0</v>
      </c>
      <c r="C18" s="420">
        <v>55319</v>
      </c>
      <c r="D18" s="421">
        <v>0</v>
      </c>
      <c r="E18" s="420">
        <v>44733</v>
      </c>
      <c r="F18" s="421">
        <v>0</v>
      </c>
      <c r="G18" s="421">
        <v>1.24</v>
      </c>
      <c r="H18" s="422">
        <v>280660</v>
      </c>
      <c r="I18" s="422">
        <v>193099</v>
      </c>
      <c r="J18" s="422">
        <v>-86761</v>
      </c>
      <c r="K18" s="422">
        <v>-57018</v>
      </c>
      <c r="L18" s="423">
        <f t="shared" si="11"/>
        <v>5.0734828901462423</v>
      </c>
      <c r="M18" s="423">
        <f t="shared" si="12"/>
        <v>3.4906451671216039</v>
      </c>
      <c r="N18" s="409"/>
      <c r="O18" s="409"/>
      <c r="P18" s="409"/>
      <c r="Q18" s="409"/>
      <c r="R18" s="409"/>
      <c r="S18" s="409"/>
      <c r="T18" s="409"/>
      <c r="U18" s="409"/>
      <c r="V18" s="409"/>
      <c r="W18" s="409"/>
      <c r="X18" s="409"/>
      <c r="Y18" s="409"/>
      <c r="Z18" s="409"/>
    </row>
    <row r="19" spans="1:26" ht="42" customHeight="1" x14ac:dyDescent="0.3">
      <c r="A19" s="374" t="s">
        <v>97</v>
      </c>
      <c r="B19" s="419">
        <v>0</v>
      </c>
      <c r="C19" s="419">
        <v>0</v>
      </c>
      <c r="D19" s="421">
        <v>0</v>
      </c>
      <c r="E19" s="420">
        <v>6022</v>
      </c>
      <c r="F19" s="421">
        <v>0</v>
      </c>
      <c r="G19" s="421">
        <v>0</v>
      </c>
      <c r="H19" s="422">
        <v>0</v>
      </c>
      <c r="I19" s="422">
        <v>0</v>
      </c>
      <c r="J19" s="422">
        <v>54492</v>
      </c>
      <c r="K19" s="422">
        <v>5450</v>
      </c>
      <c r="L19" s="423" t="e">
        <f t="shared" si="11"/>
        <v>#DIV/0!</v>
      </c>
      <c r="M19" s="423" t="e">
        <f t="shared" si="12"/>
        <v>#DIV/0!</v>
      </c>
      <c r="N19" s="409"/>
      <c r="O19" s="409"/>
      <c r="P19" s="409"/>
      <c r="Q19" s="409"/>
      <c r="R19" s="409"/>
      <c r="S19" s="409"/>
      <c r="T19" s="409"/>
      <c r="U19" s="409"/>
      <c r="V19" s="409"/>
      <c r="W19" s="409"/>
      <c r="X19" s="409"/>
      <c r="Y19" s="409"/>
      <c r="Z19" s="409"/>
    </row>
    <row r="20" spans="1:26" ht="40.5" customHeight="1" x14ac:dyDescent="0.3">
      <c r="A20" s="374" t="s">
        <v>98</v>
      </c>
      <c r="B20" s="419">
        <v>0</v>
      </c>
      <c r="C20" s="419">
        <v>0</v>
      </c>
      <c r="D20" s="421">
        <v>0</v>
      </c>
      <c r="E20" s="420">
        <v>1851</v>
      </c>
      <c r="F20" s="421">
        <v>0</v>
      </c>
      <c r="G20" s="421">
        <v>0</v>
      </c>
      <c r="H20" s="422">
        <v>0</v>
      </c>
      <c r="I20" s="422">
        <v>0</v>
      </c>
      <c r="J20" s="422">
        <v>0</v>
      </c>
      <c r="K20" s="422">
        <v>0</v>
      </c>
      <c r="L20" s="423" t="e">
        <f t="shared" si="11"/>
        <v>#DIV/0!</v>
      </c>
      <c r="M20" s="423" t="e">
        <f t="shared" si="12"/>
        <v>#DIV/0!</v>
      </c>
      <c r="N20" s="409"/>
      <c r="O20" s="409"/>
      <c r="P20" s="409"/>
      <c r="Q20" s="409"/>
      <c r="R20" s="409"/>
      <c r="S20" s="409"/>
      <c r="T20" s="409"/>
      <c r="U20" s="409"/>
      <c r="V20" s="409"/>
      <c r="W20" s="409"/>
      <c r="X20" s="409"/>
      <c r="Y20" s="409"/>
      <c r="Z20" s="409"/>
    </row>
    <row r="21" spans="1:26" ht="35.25" customHeight="1" x14ac:dyDescent="0.3">
      <c r="A21" s="374" t="s">
        <v>275</v>
      </c>
      <c r="B21" s="419">
        <v>0</v>
      </c>
      <c r="C21" s="419">
        <v>0</v>
      </c>
      <c r="D21" s="421">
        <v>0</v>
      </c>
      <c r="E21" s="419">
        <v>378</v>
      </c>
      <c r="F21" s="421">
        <v>0</v>
      </c>
      <c r="G21" s="421">
        <v>0</v>
      </c>
      <c r="H21" s="422">
        <v>0</v>
      </c>
      <c r="I21" s="422">
        <v>0</v>
      </c>
      <c r="J21" s="422">
        <v>0</v>
      </c>
      <c r="K21" s="422">
        <v>0</v>
      </c>
      <c r="L21" s="423" t="e">
        <f t="shared" si="11"/>
        <v>#DIV/0!</v>
      </c>
      <c r="M21" s="423" t="e">
        <f t="shared" si="12"/>
        <v>#DIV/0!</v>
      </c>
      <c r="N21" s="409"/>
      <c r="O21" s="409"/>
      <c r="P21" s="409"/>
      <c r="Q21" s="409"/>
      <c r="R21" s="409"/>
      <c r="S21" s="409"/>
      <c r="T21" s="409"/>
      <c r="U21" s="409"/>
      <c r="V21" s="409"/>
      <c r="W21" s="409"/>
      <c r="X21" s="409"/>
      <c r="Y21" s="409"/>
      <c r="Z21" s="409"/>
    </row>
    <row r="22" spans="1:26" ht="48" customHeight="1" x14ac:dyDescent="0.3">
      <c r="A22" s="374" t="s">
        <v>276</v>
      </c>
      <c r="B22" s="419">
        <v>0</v>
      </c>
      <c r="C22" s="419">
        <v>0</v>
      </c>
      <c r="D22" s="421">
        <v>0</v>
      </c>
      <c r="E22" s="420">
        <v>2080</v>
      </c>
      <c r="F22" s="421">
        <v>0</v>
      </c>
      <c r="G22" s="421">
        <v>0</v>
      </c>
      <c r="H22" s="422">
        <v>0</v>
      </c>
      <c r="I22" s="422">
        <v>0</v>
      </c>
      <c r="J22" s="422">
        <v>121293</v>
      </c>
      <c r="K22" s="422">
        <v>30873</v>
      </c>
      <c r="L22" s="423" t="e">
        <f t="shared" si="11"/>
        <v>#DIV/0!</v>
      </c>
      <c r="M22" s="423" t="e">
        <f t="shared" si="12"/>
        <v>#DIV/0!</v>
      </c>
      <c r="N22" s="409"/>
      <c r="O22" s="409"/>
      <c r="P22" s="409"/>
      <c r="Q22" s="409"/>
      <c r="R22" s="409"/>
      <c r="S22" s="409"/>
      <c r="T22" s="409"/>
      <c r="U22" s="409"/>
      <c r="V22" s="409"/>
      <c r="W22" s="409"/>
      <c r="X22" s="409"/>
      <c r="Y22" s="409"/>
      <c r="Z22" s="409"/>
    </row>
    <row r="23" spans="1:26" ht="15.75" customHeight="1" x14ac:dyDescent="0.3">
      <c r="A23" s="377" t="s">
        <v>443</v>
      </c>
      <c r="B23" s="417">
        <v>0</v>
      </c>
      <c r="C23" s="425">
        <v>158289</v>
      </c>
      <c r="D23" s="426">
        <v>0</v>
      </c>
      <c r="E23" s="425">
        <v>162145</v>
      </c>
      <c r="F23" s="426">
        <v>0</v>
      </c>
      <c r="G23" s="426">
        <v>0.98</v>
      </c>
      <c r="H23" s="427">
        <v>1165878</v>
      </c>
      <c r="I23" s="427">
        <v>430586</v>
      </c>
      <c r="J23" s="427">
        <v>203196</v>
      </c>
      <c r="K23" s="427">
        <v>64444</v>
      </c>
      <c r="L23" s="428">
        <f t="shared" si="11"/>
        <v>7.3655023406553832</v>
      </c>
      <c r="M23" s="428">
        <f t="shared" si="12"/>
        <v>2.7202521969309301</v>
      </c>
      <c r="N23" s="409"/>
      <c r="O23" s="409"/>
      <c r="P23" s="409"/>
      <c r="Q23" s="409"/>
      <c r="R23" s="409"/>
      <c r="S23" s="409"/>
      <c r="T23" s="409"/>
      <c r="U23" s="409"/>
      <c r="V23" s="409"/>
      <c r="W23" s="409"/>
      <c r="X23" s="409"/>
      <c r="Y23" s="409"/>
      <c r="Z23" s="409"/>
    </row>
    <row r="24" spans="1:26" ht="15.75" customHeight="1" x14ac:dyDescent="0.3">
      <c r="A24" s="409"/>
      <c r="B24" s="409"/>
      <c r="C24" s="409"/>
      <c r="D24" s="409"/>
      <c r="E24" s="409"/>
      <c r="F24" s="409"/>
      <c r="G24" s="409"/>
      <c r="H24" s="409"/>
      <c r="I24" s="409"/>
      <c r="J24" s="409"/>
      <c r="K24" s="409"/>
      <c r="L24" s="423"/>
      <c r="M24" s="423"/>
      <c r="N24" s="409"/>
      <c r="O24" s="409"/>
      <c r="P24" s="409"/>
      <c r="Q24" s="409"/>
      <c r="R24" s="409"/>
      <c r="S24" s="409"/>
      <c r="T24" s="409"/>
      <c r="U24" s="409"/>
      <c r="V24" s="409"/>
      <c r="W24" s="409"/>
      <c r="X24" s="409"/>
      <c r="Y24" s="409"/>
      <c r="Z24" s="409"/>
    </row>
    <row r="25" spans="1:26" ht="15.75" customHeight="1" x14ac:dyDescent="0.3">
      <c r="A25" s="410" t="s">
        <v>491</v>
      </c>
      <c r="B25" s="411"/>
      <c r="C25" s="411"/>
      <c r="D25" s="411"/>
      <c r="E25" s="411"/>
      <c r="F25" s="411"/>
      <c r="G25" s="411"/>
      <c r="H25" s="411"/>
      <c r="I25" s="411"/>
      <c r="J25" s="411"/>
      <c r="K25" s="411"/>
      <c r="L25" s="409"/>
      <c r="M25" s="409"/>
      <c r="N25" s="409"/>
      <c r="O25" s="409"/>
      <c r="P25" s="409"/>
      <c r="Q25" s="409"/>
      <c r="R25" s="409"/>
      <c r="S25" s="409"/>
      <c r="T25" s="409"/>
      <c r="U25" s="409"/>
      <c r="V25" s="409"/>
      <c r="W25" s="409"/>
      <c r="X25" s="409"/>
      <c r="Y25" s="409"/>
      <c r="Z25" s="409"/>
    </row>
    <row r="26" spans="1:26" ht="15.75" customHeight="1" x14ac:dyDescent="0.3">
      <c r="A26" s="412" t="s">
        <v>472</v>
      </c>
      <c r="B26" s="413" t="s">
        <v>479</v>
      </c>
      <c r="C26" s="414" t="s">
        <v>446</v>
      </c>
      <c r="D26" s="414" t="s">
        <v>480</v>
      </c>
      <c r="E26" s="415" t="s">
        <v>459</v>
      </c>
      <c r="F26" s="415" t="s">
        <v>481</v>
      </c>
      <c r="G26" s="416" t="s">
        <v>482</v>
      </c>
      <c r="H26" s="417" t="s">
        <v>461</v>
      </c>
      <c r="I26" s="417" t="s">
        <v>463</v>
      </c>
      <c r="J26" s="417" t="s">
        <v>483</v>
      </c>
      <c r="K26" s="417" t="s">
        <v>484</v>
      </c>
      <c r="L26" s="418" t="s">
        <v>485</v>
      </c>
      <c r="M26" s="418" t="s">
        <v>486</v>
      </c>
      <c r="N26" s="409"/>
      <c r="O26" s="409"/>
      <c r="P26" s="409"/>
      <c r="Q26" s="409"/>
      <c r="R26" s="409"/>
      <c r="S26" s="409"/>
      <c r="T26" s="409"/>
      <c r="U26" s="409"/>
      <c r="V26" s="409"/>
      <c r="W26" s="409"/>
      <c r="X26" s="409"/>
      <c r="Y26" s="409"/>
      <c r="Z26" s="409"/>
    </row>
    <row r="27" spans="1:26" ht="15.75" customHeight="1" x14ac:dyDescent="0.3">
      <c r="A27" s="374" t="s">
        <v>93</v>
      </c>
      <c r="B27" s="419">
        <v>0</v>
      </c>
      <c r="C27" s="420">
        <v>23010</v>
      </c>
      <c r="D27" s="421">
        <v>0</v>
      </c>
      <c r="E27" s="420">
        <v>22180</v>
      </c>
      <c r="F27" s="421">
        <v>0</v>
      </c>
      <c r="G27" s="421">
        <v>1.04</v>
      </c>
      <c r="H27" s="422">
        <v>251465</v>
      </c>
      <c r="I27" s="422">
        <v>72286</v>
      </c>
      <c r="J27" s="422">
        <v>-5124</v>
      </c>
      <c r="K27" s="422">
        <v>-5820</v>
      </c>
      <c r="L27" s="423">
        <f t="shared" ref="L27:L34" si="13">H27/C27</f>
        <v>10.928509343763581</v>
      </c>
      <c r="M27" s="423">
        <f t="shared" ref="M27:M34" si="14">I27/C27</f>
        <v>3.141503694046067</v>
      </c>
      <c r="N27" s="409"/>
      <c r="O27" s="409"/>
      <c r="P27" s="409"/>
      <c r="Q27" s="409"/>
      <c r="R27" s="409"/>
      <c r="S27" s="409"/>
      <c r="T27" s="409"/>
      <c r="U27" s="409"/>
      <c r="V27" s="409"/>
      <c r="W27" s="409"/>
      <c r="X27" s="409"/>
      <c r="Y27" s="409"/>
      <c r="Z27" s="409"/>
    </row>
    <row r="28" spans="1:26" ht="15.75" customHeight="1" x14ac:dyDescent="0.3">
      <c r="A28" s="374" t="s">
        <v>95</v>
      </c>
      <c r="B28" s="419">
        <v>0</v>
      </c>
      <c r="C28" s="420">
        <v>83152</v>
      </c>
      <c r="D28" s="421">
        <v>0</v>
      </c>
      <c r="E28" s="420">
        <v>61909</v>
      </c>
      <c r="F28" s="421">
        <v>0</v>
      </c>
      <c r="G28" s="421">
        <v>1.34</v>
      </c>
      <c r="H28" s="422">
        <v>743895</v>
      </c>
      <c r="I28" s="422">
        <v>71523</v>
      </c>
      <c r="J28" s="422">
        <v>-158841</v>
      </c>
      <c r="K28" s="422">
        <v>-10466</v>
      </c>
      <c r="L28" s="423">
        <f t="shared" si="13"/>
        <v>8.946206946315181</v>
      </c>
      <c r="M28" s="423">
        <f t="shared" si="14"/>
        <v>0.86014768135462771</v>
      </c>
      <c r="N28" s="409"/>
      <c r="O28" s="409"/>
      <c r="P28" s="409"/>
      <c r="Q28" s="409"/>
      <c r="R28" s="409"/>
      <c r="S28" s="409"/>
      <c r="T28" s="409"/>
      <c r="U28" s="409"/>
      <c r="V28" s="409"/>
      <c r="W28" s="409"/>
      <c r="X28" s="409"/>
      <c r="Y28" s="409"/>
      <c r="Z28" s="409"/>
    </row>
    <row r="29" spans="1:26" ht="15.75" customHeight="1" x14ac:dyDescent="0.3">
      <c r="A29" s="374" t="s">
        <v>96</v>
      </c>
      <c r="B29" s="419">
        <v>0</v>
      </c>
      <c r="C29" s="420">
        <v>67021</v>
      </c>
      <c r="D29" s="421">
        <v>0</v>
      </c>
      <c r="E29" s="420">
        <v>49446</v>
      </c>
      <c r="F29" s="421">
        <v>0</v>
      </c>
      <c r="G29" s="421">
        <v>1.36</v>
      </c>
      <c r="H29" s="422">
        <v>362437</v>
      </c>
      <c r="I29" s="422">
        <v>214091</v>
      </c>
      <c r="J29" s="422">
        <v>-116081</v>
      </c>
      <c r="K29" s="422">
        <v>-78730</v>
      </c>
      <c r="L29" s="423">
        <f t="shared" si="13"/>
        <v>5.407812476686412</v>
      </c>
      <c r="M29" s="423">
        <f t="shared" si="14"/>
        <v>3.19438683397741</v>
      </c>
      <c r="N29" s="409"/>
      <c r="O29" s="409"/>
      <c r="P29" s="409"/>
      <c r="Q29" s="409"/>
      <c r="R29" s="409"/>
      <c r="S29" s="409"/>
      <c r="T29" s="409"/>
      <c r="U29" s="409"/>
      <c r="V29" s="409"/>
      <c r="W29" s="409"/>
      <c r="X29" s="409"/>
      <c r="Y29" s="409"/>
      <c r="Z29" s="409"/>
    </row>
    <row r="30" spans="1:26" ht="15.75" customHeight="1" x14ac:dyDescent="0.3">
      <c r="A30" s="374" t="s">
        <v>97</v>
      </c>
      <c r="B30" s="419">
        <v>0</v>
      </c>
      <c r="C30" s="419">
        <v>0</v>
      </c>
      <c r="D30" s="421">
        <v>0</v>
      </c>
      <c r="E30" s="420">
        <v>1960</v>
      </c>
      <c r="F30" s="421">
        <v>0</v>
      </c>
      <c r="G30" s="421">
        <v>0</v>
      </c>
      <c r="H30" s="422">
        <v>0</v>
      </c>
      <c r="I30" s="422">
        <v>0</v>
      </c>
      <c r="J30" s="422">
        <v>17511</v>
      </c>
      <c r="K30" s="422">
        <v>2358</v>
      </c>
      <c r="L30" s="423" t="e">
        <f t="shared" si="13"/>
        <v>#DIV/0!</v>
      </c>
      <c r="M30" s="423" t="e">
        <f t="shared" si="14"/>
        <v>#DIV/0!</v>
      </c>
      <c r="N30" s="409"/>
      <c r="O30" s="409"/>
      <c r="P30" s="409"/>
      <c r="Q30" s="409"/>
      <c r="R30" s="409"/>
      <c r="S30" s="409"/>
      <c r="T30" s="409"/>
      <c r="U30" s="409"/>
      <c r="V30" s="409"/>
      <c r="W30" s="409"/>
      <c r="X30" s="409"/>
      <c r="Y30" s="409"/>
      <c r="Z30" s="409"/>
    </row>
    <row r="31" spans="1:26" ht="15.75" customHeight="1" x14ac:dyDescent="0.3">
      <c r="A31" s="374" t="s">
        <v>98</v>
      </c>
      <c r="B31" s="419">
        <v>0</v>
      </c>
      <c r="C31" s="419">
        <v>0</v>
      </c>
      <c r="D31" s="421">
        <v>0</v>
      </c>
      <c r="E31" s="419">
        <v>49</v>
      </c>
      <c r="F31" s="421">
        <v>0</v>
      </c>
      <c r="G31" s="421">
        <v>0</v>
      </c>
      <c r="H31" s="422">
        <v>0</v>
      </c>
      <c r="I31" s="422">
        <v>0</v>
      </c>
      <c r="J31" s="422">
        <v>0</v>
      </c>
      <c r="K31" s="422">
        <v>0</v>
      </c>
      <c r="L31" s="423" t="e">
        <f t="shared" si="13"/>
        <v>#DIV/0!</v>
      </c>
      <c r="M31" s="423" t="e">
        <f t="shared" si="14"/>
        <v>#DIV/0!</v>
      </c>
      <c r="N31" s="409"/>
      <c r="O31" s="409"/>
      <c r="P31" s="409"/>
      <c r="Q31" s="409"/>
      <c r="R31" s="409"/>
      <c r="S31" s="409"/>
      <c r="T31" s="409"/>
      <c r="U31" s="409"/>
      <c r="V31" s="409"/>
      <c r="W31" s="409"/>
      <c r="X31" s="409"/>
      <c r="Y31" s="409"/>
      <c r="Z31" s="409"/>
    </row>
    <row r="32" spans="1:26" ht="15.75" customHeight="1" x14ac:dyDescent="0.3">
      <c r="A32" s="374" t="s">
        <v>275</v>
      </c>
      <c r="B32" s="419">
        <v>0</v>
      </c>
      <c r="C32" s="419">
        <v>0</v>
      </c>
      <c r="D32" s="421">
        <v>0</v>
      </c>
      <c r="E32" s="419">
        <v>100</v>
      </c>
      <c r="F32" s="421">
        <v>0</v>
      </c>
      <c r="G32" s="421">
        <v>0</v>
      </c>
      <c r="H32" s="422">
        <v>0</v>
      </c>
      <c r="I32" s="422">
        <v>0</v>
      </c>
      <c r="J32" s="422">
        <v>0</v>
      </c>
      <c r="K32" s="422">
        <v>0</v>
      </c>
      <c r="L32" s="423" t="e">
        <f t="shared" si="13"/>
        <v>#DIV/0!</v>
      </c>
      <c r="M32" s="423" t="e">
        <f t="shared" si="14"/>
        <v>#DIV/0!</v>
      </c>
      <c r="N32" s="409"/>
      <c r="O32" s="409"/>
      <c r="P32" s="409"/>
      <c r="Q32" s="409"/>
      <c r="R32" s="409"/>
      <c r="S32" s="409"/>
      <c r="T32" s="409"/>
      <c r="U32" s="409"/>
      <c r="V32" s="409"/>
      <c r="W32" s="409"/>
      <c r="X32" s="409"/>
      <c r="Y32" s="409"/>
      <c r="Z32" s="409"/>
    </row>
    <row r="33" spans="1:26" ht="15.75" customHeight="1" x14ac:dyDescent="0.3">
      <c r="A33" s="374" t="s">
        <v>276</v>
      </c>
      <c r="B33" s="419">
        <v>0</v>
      </c>
      <c r="C33" s="419">
        <v>0</v>
      </c>
      <c r="D33" s="421">
        <v>0</v>
      </c>
      <c r="E33" s="419">
        <v>246</v>
      </c>
      <c r="F33" s="421">
        <v>0</v>
      </c>
      <c r="G33" s="421">
        <v>0</v>
      </c>
      <c r="H33" s="422">
        <v>0</v>
      </c>
      <c r="I33" s="422">
        <v>0</v>
      </c>
      <c r="J33" s="422">
        <v>10297</v>
      </c>
      <c r="K33" s="422">
        <v>2402</v>
      </c>
      <c r="L33" s="423" t="e">
        <f t="shared" si="13"/>
        <v>#DIV/0!</v>
      </c>
      <c r="M33" s="423" t="e">
        <f t="shared" si="14"/>
        <v>#DIV/0!</v>
      </c>
      <c r="N33" s="409"/>
      <c r="O33" s="409"/>
      <c r="P33" s="409"/>
      <c r="Q33" s="409"/>
      <c r="R33" s="409"/>
      <c r="S33" s="409"/>
      <c r="T33" s="409"/>
      <c r="U33" s="409"/>
      <c r="V33" s="409"/>
      <c r="W33" s="409"/>
      <c r="X33" s="409"/>
      <c r="Y33" s="409"/>
      <c r="Z33" s="409"/>
    </row>
    <row r="34" spans="1:26" ht="15.75" customHeight="1" x14ac:dyDescent="0.3">
      <c r="A34" s="377" t="s">
        <v>443</v>
      </c>
      <c r="B34" s="417">
        <v>0</v>
      </c>
      <c r="C34" s="425">
        <v>173183</v>
      </c>
      <c r="D34" s="426">
        <v>0</v>
      </c>
      <c r="E34" s="425">
        <v>135890</v>
      </c>
      <c r="F34" s="426">
        <v>0</v>
      </c>
      <c r="G34" s="426">
        <v>1.27</v>
      </c>
      <c r="H34" s="427">
        <v>1357796</v>
      </c>
      <c r="I34" s="427">
        <v>357899</v>
      </c>
      <c r="J34" s="427">
        <v>-252237</v>
      </c>
      <c r="K34" s="427">
        <v>-90256</v>
      </c>
      <c r="L34" s="428">
        <f t="shared" si="13"/>
        <v>7.840238360578117</v>
      </c>
      <c r="M34" s="428">
        <f t="shared" si="14"/>
        <v>2.0665942962069024</v>
      </c>
      <c r="N34" s="409"/>
      <c r="O34" s="409"/>
      <c r="P34" s="409"/>
      <c r="Q34" s="409"/>
      <c r="R34" s="409"/>
      <c r="S34" s="409"/>
      <c r="T34" s="409"/>
      <c r="U34" s="409"/>
      <c r="V34" s="409"/>
      <c r="W34" s="409"/>
      <c r="X34" s="409"/>
      <c r="Y34" s="409"/>
      <c r="Z34" s="409"/>
    </row>
    <row r="35" spans="1:26" ht="15.75" customHeight="1" x14ac:dyDescent="0.3">
      <c r="A35" s="409"/>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row>
    <row r="36" spans="1:26" ht="15.75" customHeight="1" x14ac:dyDescent="0.3">
      <c r="A36" s="410" t="s">
        <v>492</v>
      </c>
      <c r="B36" s="411"/>
      <c r="C36" s="411"/>
      <c r="D36" s="411"/>
      <c r="E36" s="411"/>
      <c r="F36" s="411"/>
      <c r="G36" s="411"/>
      <c r="H36" s="411"/>
      <c r="I36" s="411"/>
      <c r="J36" s="411"/>
      <c r="K36" s="411"/>
      <c r="L36" s="409"/>
      <c r="M36" s="409"/>
      <c r="N36" s="409"/>
      <c r="O36" s="409"/>
      <c r="P36" s="409"/>
      <c r="Q36" s="409"/>
      <c r="R36" s="409"/>
      <c r="S36" s="409"/>
      <c r="T36" s="409"/>
      <c r="U36" s="409"/>
      <c r="V36" s="409"/>
      <c r="W36" s="409"/>
      <c r="X36" s="409"/>
      <c r="Y36" s="409"/>
      <c r="Z36" s="409"/>
    </row>
    <row r="37" spans="1:26" ht="15.75" customHeight="1" x14ac:dyDescent="0.3">
      <c r="A37" s="412" t="s">
        <v>472</v>
      </c>
      <c r="B37" s="413" t="s">
        <v>479</v>
      </c>
      <c r="C37" s="414" t="s">
        <v>446</v>
      </c>
      <c r="D37" s="414" t="s">
        <v>480</v>
      </c>
      <c r="E37" s="415" t="s">
        <v>459</v>
      </c>
      <c r="F37" s="415" t="s">
        <v>481</v>
      </c>
      <c r="G37" s="416" t="s">
        <v>482</v>
      </c>
      <c r="H37" s="417" t="s">
        <v>461</v>
      </c>
      <c r="I37" s="417" t="s">
        <v>463</v>
      </c>
      <c r="J37" s="417" t="s">
        <v>483</v>
      </c>
      <c r="K37" s="417" t="s">
        <v>484</v>
      </c>
      <c r="L37" s="418" t="s">
        <v>485</v>
      </c>
      <c r="M37" s="418" t="s">
        <v>486</v>
      </c>
      <c r="N37" s="409"/>
      <c r="O37" s="409"/>
      <c r="P37" s="409"/>
      <c r="Q37" s="409"/>
      <c r="R37" s="409"/>
      <c r="S37" s="409"/>
      <c r="T37" s="409"/>
      <c r="U37" s="409"/>
      <c r="V37" s="409"/>
      <c r="W37" s="409"/>
      <c r="X37" s="409"/>
      <c r="Y37" s="409"/>
      <c r="Z37" s="409"/>
    </row>
    <row r="38" spans="1:26" ht="15.75" customHeight="1" x14ac:dyDescent="0.3">
      <c r="A38" s="374" t="s">
        <v>145</v>
      </c>
      <c r="B38" s="419">
        <v>0</v>
      </c>
      <c r="C38" s="420">
        <v>24519</v>
      </c>
      <c r="D38" s="421">
        <v>0</v>
      </c>
      <c r="E38" s="420">
        <v>27520</v>
      </c>
      <c r="F38" s="421">
        <v>0</v>
      </c>
      <c r="G38" s="421">
        <v>0.89</v>
      </c>
      <c r="H38" s="422">
        <v>235834</v>
      </c>
      <c r="I38" s="422">
        <v>303817</v>
      </c>
      <c r="J38" s="422">
        <v>44601</v>
      </c>
      <c r="K38" s="422">
        <v>18415</v>
      </c>
      <c r="L38" s="423">
        <f t="shared" ref="L38:L46" si="15">H38/C38</f>
        <v>9.6184183694277898</v>
      </c>
      <c r="M38" s="423">
        <f t="shared" ref="M38:M46" si="16">I38/C38</f>
        <v>12.39108446510869</v>
      </c>
      <c r="N38" s="409"/>
      <c r="O38" s="409"/>
      <c r="P38" s="409"/>
      <c r="Q38" s="409"/>
      <c r="R38" s="409"/>
      <c r="S38" s="409"/>
      <c r="T38" s="409"/>
      <c r="U38" s="409"/>
      <c r="V38" s="409"/>
      <c r="W38" s="409"/>
      <c r="X38" s="409"/>
      <c r="Y38" s="409"/>
      <c r="Z38" s="409"/>
    </row>
    <row r="39" spans="1:26" ht="15.75" customHeight="1" x14ac:dyDescent="0.3">
      <c r="A39" s="374" t="s">
        <v>146</v>
      </c>
      <c r="B39" s="419">
        <v>0</v>
      </c>
      <c r="C39" s="420">
        <v>1571</v>
      </c>
      <c r="D39" s="421">
        <v>0</v>
      </c>
      <c r="E39" s="419">
        <v>801</v>
      </c>
      <c r="F39" s="421">
        <v>0</v>
      </c>
      <c r="G39" s="421">
        <v>1.96</v>
      </c>
      <c r="H39" s="422">
        <v>84944</v>
      </c>
      <c r="I39" s="422">
        <v>92264</v>
      </c>
      <c r="J39" s="422">
        <v>-43451</v>
      </c>
      <c r="K39" s="422">
        <v>-47804</v>
      </c>
      <c r="L39" s="423">
        <f t="shared" si="15"/>
        <v>54.070019096117122</v>
      </c>
      <c r="M39" s="423">
        <f t="shared" si="16"/>
        <v>58.729471674092935</v>
      </c>
      <c r="N39" s="409"/>
      <c r="O39" s="409"/>
      <c r="P39" s="409"/>
      <c r="Q39" s="409"/>
      <c r="R39" s="409"/>
      <c r="S39" s="409"/>
      <c r="T39" s="409"/>
      <c r="U39" s="409"/>
      <c r="V39" s="409"/>
      <c r="W39" s="409"/>
      <c r="X39" s="409"/>
      <c r="Y39" s="409"/>
      <c r="Z39" s="409"/>
    </row>
    <row r="40" spans="1:26" ht="15.75" customHeight="1" x14ac:dyDescent="0.3">
      <c r="A40" s="374" t="s">
        <v>147</v>
      </c>
      <c r="B40" s="419">
        <v>0</v>
      </c>
      <c r="C40" s="419">
        <v>852</v>
      </c>
      <c r="D40" s="421">
        <v>0</v>
      </c>
      <c r="E40" s="420">
        <v>7575</v>
      </c>
      <c r="F40" s="421">
        <v>0</v>
      </c>
      <c r="G40" s="421">
        <v>0.11</v>
      </c>
      <c r="H40" s="422">
        <v>309031</v>
      </c>
      <c r="I40" s="422">
        <v>65295</v>
      </c>
      <c r="J40" s="422">
        <v>2402756</v>
      </c>
      <c r="K40" s="422">
        <v>702797</v>
      </c>
      <c r="L40" s="423">
        <f t="shared" si="15"/>
        <v>362.71244131455398</v>
      </c>
      <c r="M40" s="423">
        <f t="shared" si="16"/>
        <v>76.637323943661968</v>
      </c>
      <c r="N40" s="409"/>
      <c r="O40" s="409"/>
      <c r="P40" s="409"/>
      <c r="Q40" s="409"/>
      <c r="R40" s="409"/>
      <c r="S40" s="409"/>
      <c r="T40" s="409"/>
      <c r="U40" s="409"/>
      <c r="V40" s="409"/>
      <c r="W40" s="409"/>
      <c r="X40" s="409"/>
      <c r="Y40" s="409"/>
      <c r="Z40" s="409"/>
    </row>
    <row r="41" spans="1:26" ht="15.75" customHeight="1" x14ac:dyDescent="0.3">
      <c r="A41" s="374" t="s">
        <v>148</v>
      </c>
      <c r="B41" s="419">
        <v>0</v>
      </c>
      <c r="C41" s="419">
        <v>0</v>
      </c>
      <c r="D41" s="421">
        <v>0</v>
      </c>
      <c r="E41" s="420">
        <v>1144</v>
      </c>
      <c r="F41" s="421">
        <v>0</v>
      </c>
      <c r="G41" s="421">
        <v>0</v>
      </c>
      <c r="H41" s="422">
        <v>0</v>
      </c>
      <c r="I41" s="422">
        <v>0</v>
      </c>
      <c r="J41" s="422">
        <v>183478</v>
      </c>
      <c r="K41" s="422">
        <v>72702</v>
      </c>
      <c r="L41" s="423" t="e">
        <f t="shared" si="15"/>
        <v>#DIV/0!</v>
      </c>
      <c r="M41" s="423" t="e">
        <f t="shared" si="16"/>
        <v>#DIV/0!</v>
      </c>
      <c r="N41" s="409"/>
      <c r="O41" s="409"/>
      <c r="P41" s="409"/>
      <c r="Q41" s="409"/>
      <c r="R41" s="409"/>
      <c r="S41" s="409"/>
      <c r="T41" s="409"/>
      <c r="U41" s="409"/>
      <c r="V41" s="409"/>
      <c r="W41" s="409"/>
      <c r="X41" s="409"/>
      <c r="Y41" s="409"/>
      <c r="Z41" s="409"/>
    </row>
    <row r="42" spans="1:26" ht="15.75" customHeight="1" x14ac:dyDescent="0.3">
      <c r="A42" s="374" t="s">
        <v>149</v>
      </c>
      <c r="B42" s="419">
        <v>0</v>
      </c>
      <c r="C42" s="420">
        <v>1085</v>
      </c>
      <c r="D42" s="421">
        <v>0</v>
      </c>
      <c r="E42" s="420">
        <v>3684</v>
      </c>
      <c r="F42" s="421">
        <v>0</v>
      </c>
      <c r="G42" s="421">
        <v>0.28999999999999998</v>
      </c>
      <c r="H42" s="422">
        <v>349446</v>
      </c>
      <c r="I42" s="422">
        <v>151397</v>
      </c>
      <c r="J42" s="422">
        <v>763515</v>
      </c>
      <c r="K42" s="422">
        <v>307931</v>
      </c>
      <c r="L42" s="423">
        <f t="shared" si="15"/>
        <v>322.07004608294932</v>
      </c>
      <c r="M42" s="423">
        <f t="shared" si="16"/>
        <v>139.53640552995392</v>
      </c>
      <c r="N42" s="409"/>
      <c r="O42" s="409"/>
      <c r="P42" s="409"/>
      <c r="Q42" s="409"/>
      <c r="R42" s="409"/>
      <c r="S42" s="409"/>
      <c r="T42" s="409"/>
      <c r="U42" s="409"/>
      <c r="V42" s="409"/>
      <c r="W42" s="409"/>
      <c r="X42" s="409"/>
      <c r="Y42" s="409"/>
      <c r="Z42" s="409"/>
    </row>
    <row r="43" spans="1:26" ht="15.75" customHeight="1" x14ac:dyDescent="0.3">
      <c r="A43" s="374" t="s">
        <v>198</v>
      </c>
      <c r="B43" s="419">
        <v>0</v>
      </c>
      <c r="C43" s="420">
        <v>2189</v>
      </c>
      <c r="D43" s="421">
        <v>0</v>
      </c>
      <c r="E43" s="420">
        <v>6392</v>
      </c>
      <c r="F43" s="421">
        <v>0</v>
      </c>
      <c r="G43" s="421">
        <v>0.34</v>
      </c>
      <c r="H43" s="422">
        <v>49181</v>
      </c>
      <c r="I43" s="422">
        <v>50451</v>
      </c>
      <c r="J43" s="422">
        <v>75165</v>
      </c>
      <c r="K43" s="422">
        <v>88208</v>
      </c>
      <c r="L43" s="423">
        <f t="shared" si="15"/>
        <v>22.467336683417084</v>
      </c>
      <c r="M43" s="423">
        <f t="shared" si="16"/>
        <v>23.047510278666056</v>
      </c>
      <c r="N43" s="409"/>
      <c r="O43" s="409"/>
      <c r="P43" s="409"/>
      <c r="Q43" s="409"/>
      <c r="R43" s="409"/>
      <c r="S43" s="409"/>
      <c r="T43" s="409"/>
      <c r="U43" s="409"/>
      <c r="V43" s="409"/>
      <c r="W43" s="409"/>
      <c r="X43" s="409"/>
      <c r="Y43" s="409"/>
      <c r="Z43" s="409"/>
    </row>
    <row r="44" spans="1:26" ht="15.75" customHeight="1" x14ac:dyDescent="0.3">
      <c r="A44" s="374" t="s">
        <v>199</v>
      </c>
      <c r="B44" s="419">
        <v>0</v>
      </c>
      <c r="C44" s="419">
        <v>78</v>
      </c>
      <c r="D44" s="421">
        <v>0</v>
      </c>
      <c r="E44" s="420">
        <v>2742</v>
      </c>
      <c r="F44" s="421">
        <v>0</v>
      </c>
      <c r="G44" s="421">
        <v>0.03</v>
      </c>
      <c r="H44" s="422">
        <v>1989</v>
      </c>
      <c r="I44" s="422">
        <v>2329</v>
      </c>
      <c r="J44" s="422">
        <v>67793</v>
      </c>
      <c r="K44" s="422">
        <v>74311</v>
      </c>
      <c r="L44" s="423">
        <f t="shared" si="15"/>
        <v>25.5</v>
      </c>
      <c r="M44" s="423">
        <f t="shared" si="16"/>
        <v>29.858974358974358</v>
      </c>
      <c r="N44" s="409"/>
      <c r="O44" s="409"/>
      <c r="P44" s="409"/>
      <c r="Q44" s="409"/>
      <c r="R44" s="409"/>
      <c r="S44" s="409"/>
      <c r="T44" s="409"/>
      <c r="U44" s="409"/>
      <c r="V44" s="409"/>
      <c r="W44" s="409"/>
      <c r="X44" s="409"/>
      <c r="Y44" s="409"/>
      <c r="Z44" s="409"/>
    </row>
    <row r="45" spans="1:26" ht="15.75" customHeight="1" x14ac:dyDescent="0.3">
      <c r="A45" s="374" t="s">
        <v>152</v>
      </c>
      <c r="B45" s="419">
        <v>0</v>
      </c>
      <c r="C45" s="419">
        <v>529</v>
      </c>
      <c r="D45" s="421">
        <v>0</v>
      </c>
      <c r="E45" s="420">
        <v>2517</v>
      </c>
      <c r="F45" s="421">
        <v>0</v>
      </c>
      <c r="G45" s="421">
        <v>0.21</v>
      </c>
      <c r="H45" s="422">
        <v>9133</v>
      </c>
      <c r="I45" s="422">
        <v>0</v>
      </c>
      <c r="J45" s="422">
        <v>0</v>
      </c>
      <c r="K45" s="422">
        <v>0</v>
      </c>
      <c r="L45" s="423">
        <f t="shared" si="15"/>
        <v>17.264650283553877</v>
      </c>
      <c r="M45" s="423">
        <f t="shared" si="16"/>
        <v>0</v>
      </c>
      <c r="N45" s="409"/>
      <c r="O45" s="409"/>
      <c r="P45" s="409"/>
      <c r="Q45" s="409"/>
      <c r="R45" s="409"/>
      <c r="S45" s="409"/>
      <c r="T45" s="409"/>
      <c r="U45" s="409"/>
      <c r="V45" s="409"/>
      <c r="W45" s="409"/>
      <c r="X45" s="409"/>
      <c r="Y45" s="409"/>
      <c r="Z45" s="409"/>
    </row>
    <row r="46" spans="1:26" ht="15.75" customHeight="1" x14ac:dyDescent="0.3">
      <c r="A46" s="374" t="s">
        <v>153</v>
      </c>
      <c r="B46" s="419">
        <v>0</v>
      </c>
      <c r="C46" s="420">
        <v>3481</v>
      </c>
      <c r="D46" s="421">
        <v>0</v>
      </c>
      <c r="E46" s="420">
        <v>42579</v>
      </c>
      <c r="F46" s="421">
        <v>0</v>
      </c>
      <c r="G46" s="421">
        <v>0.08</v>
      </c>
      <c r="H46" s="422">
        <v>72366</v>
      </c>
      <c r="I46" s="422">
        <v>-1761</v>
      </c>
      <c r="J46" s="422">
        <v>520517</v>
      </c>
      <c r="K46" s="422">
        <v>-25547</v>
      </c>
      <c r="L46" s="423">
        <f t="shared" si="15"/>
        <v>20.7888537776501</v>
      </c>
      <c r="M46" s="423">
        <f t="shared" si="16"/>
        <v>-0.50588911232404477</v>
      </c>
      <c r="N46" s="409"/>
      <c r="O46" s="409"/>
      <c r="P46" s="409"/>
      <c r="Q46" s="409"/>
      <c r="R46" s="409"/>
      <c r="S46" s="409"/>
      <c r="T46" s="409"/>
      <c r="U46" s="409"/>
      <c r="V46" s="409"/>
      <c r="W46" s="409"/>
      <c r="X46" s="409"/>
      <c r="Y46" s="409"/>
      <c r="Z46" s="409"/>
    </row>
    <row r="47" spans="1:26" ht="15.75" customHeight="1" x14ac:dyDescent="0.3">
      <c r="A47" s="374" t="s">
        <v>154</v>
      </c>
      <c r="B47" s="419"/>
      <c r="C47" s="420"/>
      <c r="D47" s="421"/>
      <c r="E47" s="420"/>
      <c r="F47" s="421"/>
      <c r="G47" s="421"/>
      <c r="H47" s="422"/>
      <c r="I47" s="422"/>
      <c r="J47" s="422"/>
      <c r="K47" s="422"/>
      <c r="L47" s="423"/>
      <c r="M47" s="423"/>
      <c r="N47" s="409"/>
      <c r="O47" s="409"/>
      <c r="P47" s="409"/>
      <c r="Q47" s="409"/>
      <c r="R47" s="409"/>
      <c r="S47" s="409"/>
      <c r="T47" s="409"/>
      <c r="U47" s="409"/>
      <c r="V47" s="409"/>
      <c r="W47" s="409"/>
      <c r="X47" s="409"/>
      <c r="Y47" s="409"/>
      <c r="Z47" s="409"/>
    </row>
    <row r="48" spans="1:26" ht="15.75" customHeight="1" x14ac:dyDescent="0.3">
      <c r="A48" s="374" t="s">
        <v>155</v>
      </c>
      <c r="B48" s="419">
        <v>0</v>
      </c>
      <c r="C48" s="419">
        <v>0</v>
      </c>
      <c r="D48" s="421">
        <v>0</v>
      </c>
      <c r="E48" s="419">
        <v>465</v>
      </c>
      <c r="F48" s="421">
        <v>0</v>
      </c>
      <c r="G48" s="421">
        <v>0</v>
      </c>
      <c r="H48" s="422">
        <v>0</v>
      </c>
      <c r="I48" s="422">
        <v>0</v>
      </c>
      <c r="J48" s="422">
        <v>0</v>
      </c>
      <c r="K48" s="422">
        <v>0</v>
      </c>
      <c r="L48" s="423" t="e">
        <f t="shared" ref="L48:L49" si="17">H48/C48</f>
        <v>#DIV/0!</v>
      </c>
      <c r="M48" s="423" t="e">
        <f t="shared" ref="M48:M49" si="18">I48/C48</f>
        <v>#DIV/0!</v>
      </c>
      <c r="N48" s="409"/>
      <c r="O48" s="409"/>
      <c r="P48" s="409"/>
      <c r="Q48" s="409"/>
      <c r="R48" s="409"/>
      <c r="S48" s="409"/>
      <c r="T48" s="409"/>
      <c r="U48" s="409"/>
      <c r="V48" s="409"/>
      <c r="W48" s="409"/>
      <c r="X48" s="409"/>
      <c r="Y48" s="409"/>
      <c r="Z48" s="409"/>
    </row>
    <row r="49" spans="1:26" ht="15.75" customHeight="1" x14ac:dyDescent="0.3">
      <c r="A49" s="374" t="s">
        <v>156</v>
      </c>
      <c r="B49" s="419">
        <v>0</v>
      </c>
      <c r="C49" s="419">
        <v>0</v>
      </c>
      <c r="D49" s="421">
        <v>0</v>
      </c>
      <c r="E49" s="419">
        <v>31</v>
      </c>
      <c r="F49" s="421">
        <v>0</v>
      </c>
      <c r="G49" s="421">
        <v>0</v>
      </c>
      <c r="H49" s="422">
        <v>0</v>
      </c>
      <c r="I49" s="422">
        <v>0</v>
      </c>
      <c r="J49" s="422">
        <v>0</v>
      </c>
      <c r="K49" s="422">
        <v>0</v>
      </c>
      <c r="L49" s="423" t="e">
        <f t="shared" si="17"/>
        <v>#DIV/0!</v>
      </c>
      <c r="M49" s="423" t="e">
        <f t="shared" si="18"/>
        <v>#DIV/0!</v>
      </c>
      <c r="N49" s="409"/>
      <c r="O49" s="409"/>
      <c r="P49" s="409"/>
      <c r="Q49" s="409"/>
      <c r="R49" s="409"/>
      <c r="S49" s="409"/>
      <c r="T49" s="409"/>
      <c r="U49" s="409"/>
      <c r="V49" s="409"/>
      <c r="W49" s="409"/>
      <c r="X49" s="409"/>
      <c r="Y49" s="409"/>
      <c r="Z49" s="409"/>
    </row>
    <row r="50" spans="1:26" ht="15" customHeight="1" x14ac:dyDescent="0.3">
      <c r="A50" s="374" t="s">
        <v>96</v>
      </c>
    </row>
    <row r="51" spans="1:26" ht="15.75" customHeight="1" x14ac:dyDescent="0.3">
      <c r="A51" s="374" t="s">
        <v>158</v>
      </c>
      <c r="B51" s="419">
        <v>0</v>
      </c>
      <c r="C51" s="419">
        <v>0</v>
      </c>
      <c r="D51" s="421">
        <v>0</v>
      </c>
      <c r="E51" s="419">
        <v>1</v>
      </c>
      <c r="F51" s="421">
        <v>0</v>
      </c>
      <c r="G51" s="421">
        <v>0</v>
      </c>
      <c r="H51" s="422">
        <v>0</v>
      </c>
      <c r="I51" s="422">
        <v>0</v>
      </c>
      <c r="J51" s="422">
        <v>0</v>
      </c>
      <c r="K51" s="422">
        <v>0</v>
      </c>
      <c r="L51" s="423" t="e">
        <f t="shared" ref="L51:L52" si="19">H51/C51</f>
        <v>#DIV/0!</v>
      </c>
      <c r="M51" s="423" t="e">
        <f t="shared" ref="M51:M52" si="20">I51/C51</f>
        <v>#DIV/0!</v>
      </c>
      <c r="N51" s="409"/>
      <c r="O51" s="409"/>
      <c r="P51" s="409"/>
      <c r="Q51" s="409"/>
      <c r="R51" s="409"/>
      <c r="S51" s="409"/>
      <c r="T51" s="409"/>
      <c r="U51" s="409"/>
      <c r="V51" s="409"/>
      <c r="W51" s="409"/>
      <c r="X51" s="409"/>
      <c r="Y51" s="409"/>
      <c r="Z51" s="409"/>
    </row>
    <row r="52" spans="1:26" ht="15.75" customHeight="1" x14ac:dyDescent="0.3">
      <c r="A52" s="377" t="s">
        <v>443</v>
      </c>
      <c r="B52" s="417">
        <v>0</v>
      </c>
      <c r="C52" s="425">
        <v>34304</v>
      </c>
      <c r="D52" s="426">
        <v>0</v>
      </c>
      <c r="E52" s="425">
        <v>95451</v>
      </c>
      <c r="F52" s="426">
        <v>0</v>
      </c>
      <c r="G52" s="426">
        <v>0.36</v>
      </c>
      <c r="H52" s="427">
        <v>1111924</v>
      </c>
      <c r="I52" s="427">
        <v>663791</v>
      </c>
      <c r="J52" s="427">
        <v>4014374</v>
      </c>
      <c r="K52" s="427">
        <v>1191012</v>
      </c>
      <c r="L52" s="428">
        <f t="shared" si="19"/>
        <v>32.413829291044777</v>
      </c>
      <c r="M52" s="428">
        <f t="shared" si="20"/>
        <v>19.350250699626866</v>
      </c>
      <c r="N52" s="409"/>
      <c r="O52" s="409"/>
      <c r="P52" s="409"/>
      <c r="Q52" s="409"/>
      <c r="R52" s="409"/>
      <c r="S52" s="409"/>
      <c r="T52" s="409"/>
      <c r="U52" s="409"/>
      <c r="V52" s="409"/>
      <c r="W52" s="409"/>
      <c r="X52" s="409"/>
      <c r="Y52" s="409"/>
      <c r="Z52" s="409"/>
    </row>
    <row r="53" spans="1:26" ht="15.75" customHeight="1" x14ac:dyDescent="0.3">
      <c r="A53" s="409"/>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row>
    <row r="54" spans="1:26" ht="15.75" customHeight="1" x14ac:dyDescent="0.3">
      <c r="A54" s="410" t="s">
        <v>493</v>
      </c>
      <c r="B54" s="411"/>
      <c r="C54" s="411"/>
      <c r="D54" s="411"/>
      <c r="E54" s="411"/>
      <c r="F54" s="411"/>
      <c r="G54" s="411"/>
      <c r="H54" s="411"/>
      <c r="I54" s="411"/>
      <c r="J54" s="411"/>
      <c r="K54" s="411"/>
      <c r="L54" s="409"/>
      <c r="M54" s="409"/>
      <c r="N54" s="409"/>
      <c r="O54" s="409"/>
      <c r="P54" s="409"/>
      <c r="Q54" s="409"/>
      <c r="R54" s="409"/>
      <c r="S54" s="409"/>
      <c r="T54" s="409"/>
      <c r="U54" s="409"/>
      <c r="V54" s="409"/>
      <c r="W54" s="409"/>
      <c r="X54" s="409"/>
      <c r="Y54" s="409"/>
      <c r="Z54" s="409"/>
    </row>
    <row r="55" spans="1:26" ht="15.75" customHeight="1" x14ac:dyDescent="0.3">
      <c r="A55" s="412" t="s">
        <v>472</v>
      </c>
      <c r="B55" s="413" t="s">
        <v>479</v>
      </c>
      <c r="C55" s="414" t="s">
        <v>446</v>
      </c>
      <c r="D55" s="414" t="s">
        <v>480</v>
      </c>
      <c r="E55" s="415" t="s">
        <v>459</v>
      </c>
      <c r="F55" s="415" t="s">
        <v>481</v>
      </c>
      <c r="G55" s="416" t="s">
        <v>482</v>
      </c>
      <c r="H55" s="417" t="s">
        <v>461</v>
      </c>
      <c r="I55" s="417" t="s">
        <v>463</v>
      </c>
      <c r="J55" s="417" t="s">
        <v>483</v>
      </c>
      <c r="K55" s="417" t="s">
        <v>484</v>
      </c>
      <c r="L55" s="418" t="s">
        <v>485</v>
      </c>
      <c r="M55" s="418" t="s">
        <v>486</v>
      </c>
      <c r="N55" s="409"/>
      <c r="O55" s="409"/>
      <c r="P55" s="409"/>
      <c r="Q55" s="409"/>
      <c r="R55" s="409"/>
      <c r="S55" s="409"/>
      <c r="T55" s="409"/>
      <c r="U55" s="409"/>
      <c r="V55" s="409"/>
      <c r="W55" s="409"/>
      <c r="X55" s="409"/>
      <c r="Y55" s="409"/>
      <c r="Z55" s="409"/>
    </row>
    <row r="56" spans="1:26" ht="15.75" customHeight="1" x14ac:dyDescent="0.3">
      <c r="A56" s="374" t="s">
        <v>145</v>
      </c>
      <c r="B56" s="419">
        <v>0</v>
      </c>
      <c r="C56" s="420">
        <v>18309</v>
      </c>
      <c r="D56" s="421">
        <v>0</v>
      </c>
      <c r="E56" s="420">
        <v>23186</v>
      </c>
      <c r="F56" s="421">
        <v>0</v>
      </c>
      <c r="G56" s="421">
        <v>0.79</v>
      </c>
      <c r="H56" s="422">
        <v>172006</v>
      </c>
      <c r="I56" s="422">
        <v>219253</v>
      </c>
      <c r="J56" s="422">
        <v>55783</v>
      </c>
      <c r="K56" s="422">
        <v>58868</v>
      </c>
      <c r="L56" s="423">
        <f t="shared" ref="L56:L68" si="21">H56/C56</f>
        <v>9.3946146703806868</v>
      </c>
      <c r="M56" s="423">
        <f t="shared" ref="M56:M68" si="22">I56/C56</f>
        <v>11.975148833906822</v>
      </c>
      <c r="N56" s="409"/>
      <c r="O56" s="409"/>
      <c r="P56" s="409"/>
      <c r="Q56" s="409"/>
      <c r="R56" s="409"/>
      <c r="S56" s="409"/>
      <c r="T56" s="409"/>
      <c r="U56" s="409"/>
      <c r="V56" s="409"/>
      <c r="W56" s="409"/>
      <c r="X56" s="409"/>
      <c r="Y56" s="409"/>
      <c r="Z56" s="409"/>
    </row>
    <row r="57" spans="1:26" ht="15.75" customHeight="1" x14ac:dyDescent="0.3">
      <c r="A57" s="374" t="s">
        <v>146</v>
      </c>
      <c r="B57" s="419">
        <v>0</v>
      </c>
      <c r="C57" s="420">
        <v>1295</v>
      </c>
      <c r="D57" s="421">
        <v>0</v>
      </c>
      <c r="E57" s="419">
        <v>766</v>
      </c>
      <c r="F57" s="421">
        <v>0</v>
      </c>
      <c r="G57" s="421">
        <v>1.69</v>
      </c>
      <c r="H57" s="422">
        <v>67712</v>
      </c>
      <c r="I57" s="422">
        <v>78364</v>
      </c>
      <c r="J57" s="422">
        <v>-32656</v>
      </c>
      <c r="K57" s="422">
        <v>-35927</v>
      </c>
      <c r="L57" s="423">
        <f t="shared" si="21"/>
        <v>52.287258687258685</v>
      </c>
      <c r="M57" s="423">
        <f t="shared" si="22"/>
        <v>60.512741312741312</v>
      </c>
      <c r="N57" s="409"/>
      <c r="O57" s="409"/>
      <c r="P57" s="409"/>
      <c r="Q57" s="409"/>
      <c r="R57" s="409"/>
      <c r="S57" s="409"/>
      <c r="T57" s="409"/>
      <c r="U57" s="409"/>
      <c r="V57" s="409"/>
      <c r="W57" s="409"/>
      <c r="X57" s="409"/>
      <c r="Y57" s="409"/>
      <c r="Z57" s="409"/>
    </row>
    <row r="58" spans="1:26" ht="15.75" customHeight="1" x14ac:dyDescent="0.3">
      <c r="A58" s="374" t="s">
        <v>147</v>
      </c>
      <c r="B58" s="419">
        <v>0</v>
      </c>
      <c r="C58" s="420">
        <v>1056</v>
      </c>
      <c r="D58" s="421">
        <v>0</v>
      </c>
      <c r="E58" s="420">
        <v>7026</v>
      </c>
      <c r="F58" s="421">
        <v>0</v>
      </c>
      <c r="G58" s="421">
        <v>0.15</v>
      </c>
      <c r="H58" s="422">
        <v>427074</v>
      </c>
      <c r="I58" s="422">
        <v>133420</v>
      </c>
      <c r="J58" s="422">
        <v>2198658</v>
      </c>
      <c r="K58" s="422">
        <v>638099</v>
      </c>
      <c r="L58" s="423">
        <f t="shared" si="21"/>
        <v>404.42613636363637</v>
      </c>
      <c r="M58" s="423">
        <f t="shared" si="22"/>
        <v>126.34469696969697</v>
      </c>
      <c r="N58" s="409"/>
      <c r="O58" s="409"/>
      <c r="P58" s="409"/>
      <c r="Q58" s="409"/>
      <c r="R58" s="409"/>
      <c r="S58" s="409"/>
      <c r="T58" s="409"/>
      <c r="U58" s="409"/>
      <c r="V58" s="409"/>
      <c r="W58" s="409"/>
      <c r="X58" s="409"/>
      <c r="Y58" s="409"/>
      <c r="Z58" s="409"/>
    </row>
    <row r="59" spans="1:26" ht="15.75" customHeight="1" x14ac:dyDescent="0.3">
      <c r="A59" s="374" t="s">
        <v>148</v>
      </c>
      <c r="B59" s="419">
        <v>0</v>
      </c>
      <c r="C59" s="419">
        <v>0</v>
      </c>
      <c r="D59" s="421">
        <v>0</v>
      </c>
      <c r="E59" s="420">
        <v>1181</v>
      </c>
      <c r="F59" s="421">
        <v>0</v>
      </c>
      <c r="G59" s="421">
        <v>0</v>
      </c>
      <c r="H59" s="422">
        <v>0</v>
      </c>
      <c r="I59" s="422">
        <v>0</v>
      </c>
      <c r="J59" s="422">
        <v>416422</v>
      </c>
      <c r="K59" s="422">
        <v>162838</v>
      </c>
      <c r="L59" s="423" t="e">
        <f t="shared" si="21"/>
        <v>#DIV/0!</v>
      </c>
      <c r="M59" s="423" t="e">
        <f t="shared" si="22"/>
        <v>#DIV/0!</v>
      </c>
      <c r="N59" s="409"/>
      <c r="O59" s="409"/>
      <c r="P59" s="409"/>
      <c r="Q59" s="409"/>
      <c r="R59" s="409"/>
      <c r="S59" s="409"/>
      <c r="T59" s="409"/>
      <c r="U59" s="409"/>
      <c r="V59" s="409"/>
      <c r="W59" s="409"/>
      <c r="X59" s="409"/>
      <c r="Y59" s="409"/>
      <c r="Z59" s="409"/>
    </row>
    <row r="60" spans="1:26" ht="15.75" customHeight="1" x14ac:dyDescent="0.3">
      <c r="A60" s="374" t="s">
        <v>149</v>
      </c>
      <c r="B60" s="419">
        <v>0</v>
      </c>
      <c r="C60" s="420">
        <v>1011</v>
      </c>
      <c r="D60" s="421">
        <v>0</v>
      </c>
      <c r="E60" s="420">
        <v>2753</v>
      </c>
      <c r="F60" s="421">
        <v>0</v>
      </c>
      <c r="G60" s="421">
        <v>0.37</v>
      </c>
      <c r="H60" s="422">
        <v>325434</v>
      </c>
      <c r="I60" s="422">
        <v>143700</v>
      </c>
      <c r="J60" s="422">
        <v>525228</v>
      </c>
      <c r="K60" s="422">
        <v>180455</v>
      </c>
      <c r="L60" s="423">
        <f t="shared" si="21"/>
        <v>321.893175074184</v>
      </c>
      <c r="M60" s="423">
        <f t="shared" si="22"/>
        <v>142.13649851632047</v>
      </c>
      <c r="N60" s="409"/>
      <c r="O60" s="409"/>
      <c r="P60" s="409"/>
      <c r="Q60" s="409"/>
      <c r="R60" s="409"/>
      <c r="S60" s="409"/>
      <c r="T60" s="409"/>
      <c r="U60" s="409"/>
      <c r="V60" s="409"/>
      <c r="W60" s="409"/>
      <c r="X60" s="409"/>
      <c r="Y60" s="409"/>
      <c r="Z60" s="409"/>
    </row>
    <row r="61" spans="1:26" ht="15.75" customHeight="1" x14ac:dyDescent="0.3">
      <c r="A61" s="374" t="s">
        <v>198</v>
      </c>
      <c r="B61" s="419">
        <v>0</v>
      </c>
      <c r="C61" s="420">
        <v>1080</v>
      </c>
      <c r="D61" s="421">
        <v>0</v>
      </c>
      <c r="E61" s="420">
        <v>3903</v>
      </c>
      <c r="F61" s="421">
        <v>0</v>
      </c>
      <c r="G61" s="421">
        <v>0.28000000000000003</v>
      </c>
      <c r="H61" s="422">
        <v>21819</v>
      </c>
      <c r="I61" s="422">
        <v>26405</v>
      </c>
      <c r="J61" s="422">
        <v>56313</v>
      </c>
      <c r="K61" s="422">
        <v>66314</v>
      </c>
      <c r="L61" s="423">
        <f t="shared" si="21"/>
        <v>20.202777777777779</v>
      </c>
      <c r="M61" s="423">
        <f t="shared" si="22"/>
        <v>24.449074074074073</v>
      </c>
      <c r="N61" s="409"/>
      <c r="O61" s="409"/>
      <c r="P61" s="409"/>
      <c r="Q61" s="409"/>
      <c r="R61" s="409"/>
      <c r="S61" s="409"/>
      <c r="T61" s="409"/>
      <c r="U61" s="409"/>
      <c r="V61" s="409"/>
      <c r="W61" s="409"/>
      <c r="X61" s="409"/>
      <c r="Y61" s="409"/>
      <c r="Z61" s="409"/>
    </row>
    <row r="62" spans="1:26" ht="15.75" customHeight="1" x14ac:dyDescent="0.3">
      <c r="A62" s="374" t="s">
        <v>199</v>
      </c>
      <c r="B62" s="419">
        <v>0</v>
      </c>
      <c r="C62" s="419">
        <v>54</v>
      </c>
      <c r="D62" s="421">
        <v>0</v>
      </c>
      <c r="E62" s="420">
        <v>2555</v>
      </c>
      <c r="F62" s="421">
        <v>0</v>
      </c>
      <c r="G62" s="421">
        <v>0.02</v>
      </c>
      <c r="H62" s="422">
        <v>1351</v>
      </c>
      <c r="I62" s="422">
        <v>1665</v>
      </c>
      <c r="J62" s="422">
        <v>63637</v>
      </c>
      <c r="K62" s="422">
        <v>70258</v>
      </c>
      <c r="L62" s="423">
        <f t="shared" si="21"/>
        <v>25.018518518518519</v>
      </c>
      <c r="M62" s="423">
        <f t="shared" si="22"/>
        <v>30.833333333333332</v>
      </c>
      <c r="N62" s="409"/>
      <c r="O62" s="409"/>
      <c r="P62" s="409"/>
      <c r="Q62" s="409"/>
      <c r="R62" s="409"/>
      <c r="S62" s="409"/>
      <c r="T62" s="409"/>
      <c r="U62" s="409"/>
      <c r="V62" s="409"/>
      <c r="W62" s="409"/>
      <c r="X62" s="409"/>
      <c r="Y62" s="409"/>
      <c r="Z62" s="409"/>
    </row>
    <row r="63" spans="1:26" ht="15.75" customHeight="1" x14ac:dyDescent="0.3">
      <c r="A63" s="374" t="s">
        <v>152</v>
      </c>
      <c r="B63" s="419">
        <v>0</v>
      </c>
      <c r="C63" s="419">
        <v>355</v>
      </c>
      <c r="D63" s="421">
        <v>0</v>
      </c>
      <c r="E63" s="420">
        <v>1889</v>
      </c>
      <c r="F63" s="421">
        <v>0</v>
      </c>
      <c r="G63" s="421">
        <v>0.19</v>
      </c>
      <c r="H63" s="422">
        <v>5725</v>
      </c>
      <c r="I63" s="422">
        <v>0</v>
      </c>
      <c r="J63" s="422">
        <v>0</v>
      </c>
      <c r="K63" s="422">
        <v>0</v>
      </c>
      <c r="L63" s="423">
        <f t="shared" si="21"/>
        <v>16.12676056338028</v>
      </c>
      <c r="M63" s="423">
        <f t="shared" si="22"/>
        <v>0</v>
      </c>
      <c r="N63" s="409"/>
      <c r="O63" s="409"/>
      <c r="P63" s="409"/>
      <c r="Q63" s="409"/>
      <c r="R63" s="409"/>
      <c r="S63" s="409"/>
      <c r="T63" s="409"/>
      <c r="U63" s="409"/>
      <c r="V63" s="409"/>
      <c r="W63" s="409"/>
      <c r="X63" s="409"/>
      <c r="Y63" s="409"/>
      <c r="Z63" s="409"/>
    </row>
    <row r="64" spans="1:26" ht="15.75" customHeight="1" x14ac:dyDescent="0.3">
      <c r="A64" s="374" t="s">
        <v>153</v>
      </c>
      <c r="B64" s="419">
        <v>0</v>
      </c>
      <c r="C64" s="420">
        <v>1157</v>
      </c>
      <c r="D64" s="421">
        <v>0</v>
      </c>
      <c r="E64" s="420">
        <v>32265</v>
      </c>
      <c r="F64" s="421">
        <v>0</v>
      </c>
      <c r="G64" s="421">
        <v>0.04</v>
      </c>
      <c r="H64" s="422">
        <v>21923</v>
      </c>
      <c r="I64" s="422">
        <v>-826</v>
      </c>
      <c r="J64" s="422">
        <v>477559</v>
      </c>
      <c r="K64" s="422">
        <v>-25423</v>
      </c>
      <c r="L64" s="423">
        <f t="shared" si="21"/>
        <v>18.948141745894556</v>
      </c>
      <c r="M64" s="423">
        <f t="shared" si="22"/>
        <v>-0.71391529818496113</v>
      </c>
      <c r="N64" s="409"/>
      <c r="O64" s="409"/>
      <c r="P64" s="409"/>
      <c r="Q64" s="409"/>
      <c r="R64" s="409"/>
      <c r="S64" s="409"/>
      <c r="T64" s="409"/>
      <c r="U64" s="409"/>
      <c r="V64" s="409"/>
      <c r="W64" s="409"/>
      <c r="X64" s="409"/>
      <c r="Y64" s="409"/>
      <c r="Z64" s="409"/>
    </row>
    <row r="65" spans="1:26" ht="15.75" customHeight="1" x14ac:dyDescent="0.3">
      <c r="A65" s="374" t="s">
        <v>154</v>
      </c>
      <c r="B65" s="419">
        <v>0</v>
      </c>
      <c r="C65" s="419">
        <v>0</v>
      </c>
      <c r="D65" s="421">
        <v>0</v>
      </c>
      <c r="E65" s="419">
        <v>150</v>
      </c>
      <c r="F65" s="421">
        <v>0</v>
      </c>
      <c r="G65" s="421">
        <v>0</v>
      </c>
      <c r="H65" s="422">
        <v>0</v>
      </c>
      <c r="I65" s="422">
        <v>0</v>
      </c>
      <c r="J65" s="422">
        <v>0</v>
      </c>
      <c r="K65" s="422">
        <v>0</v>
      </c>
      <c r="L65" s="423" t="e">
        <f t="shared" si="21"/>
        <v>#DIV/0!</v>
      </c>
      <c r="M65" s="423" t="e">
        <f t="shared" si="22"/>
        <v>#DIV/0!</v>
      </c>
      <c r="N65" s="409"/>
      <c r="O65" s="409"/>
      <c r="P65" s="409"/>
      <c r="Q65" s="409"/>
      <c r="R65" s="409"/>
      <c r="S65" s="409"/>
      <c r="T65" s="409"/>
      <c r="U65" s="409"/>
      <c r="V65" s="409"/>
      <c r="W65" s="409"/>
      <c r="X65" s="409"/>
      <c r="Y65" s="409"/>
      <c r="Z65" s="409"/>
    </row>
    <row r="66" spans="1:26" ht="15.75" customHeight="1" x14ac:dyDescent="0.3">
      <c r="A66" s="374" t="s">
        <v>155</v>
      </c>
      <c r="B66" s="419">
        <v>0</v>
      </c>
      <c r="C66" s="419">
        <v>0</v>
      </c>
      <c r="D66" s="421">
        <v>0</v>
      </c>
      <c r="E66" s="419">
        <v>625</v>
      </c>
      <c r="F66" s="421">
        <v>0</v>
      </c>
      <c r="G66" s="421">
        <v>0</v>
      </c>
      <c r="H66" s="422">
        <v>0</v>
      </c>
      <c r="I66" s="422">
        <v>0</v>
      </c>
      <c r="J66" s="422">
        <v>0</v>
      </c>
      <c r="K66" s="422">
        <v>0</v>
      </c>
      <c r="L66" s="423" t="e">
        <f t="shared" si="21"/>
        <v>#DIV/0!</v>
      </c>
      <c r="M66" s="423" t="e">
        <f t="shared" si="22"/>
        <v>#DIV/0!</v>
      </c>
      <c r="N66" s="409"/>
      <c r="O66" s="409"/>
      <c r="P66" s="409"/>
      <c r="Q66" s="409"/>
      <c r="R66" s="409"/>
      <c r="S66" s="409"/>
      <c r="T66" s="409"/>
      <c r="U66" s="409"/>
      <c r="V66" s="409"/>
      <c r="W66" s="409"/>
      <c r="X66" s="409"/>
      <c r="Y66" s="409"/>
      <c r="Z66" s="409"/>
    </row>
    <row r="67" spans="1:26" ht="15.75" customHeight="1" x14ac:dyDescent="0.3">
      <c r="A67" s="374" t="s">
        <v>156</v>
      </c>
      <c r="B67" s="419">
        <v>0</v>
      </c>
      <c r="C67" s="419">
        <v>67</v>
      </c>
      <c r="D67" s="421">
        <v>0</v>
      </c>
      <c r="E67" s="419">
        <v>29</v>
      </c>
      <c r="F67" s="421">
        <v>0</v>
      </c>
      <c r="G67" s="421">
        <v>2.31</v>
      </c>
      <c r="H67" s="422">
        <v>1148</v>
      </c>
      <c r="I67" s="422">
        <v>0</v>
      </c>
      <c r="J67" s="422">
        <v>0</v>
      </c>
      <c r="K67" s="422">
        <v>0</v>
      </c>
      <c r="L67" s="423">
        <f t="shared" si="21"/>
        <v>17.134328358208954</v>
      </c>
      <c r="M67" s="423">
        <f t="shared" si="22"/>
        <v>0</v>
      </c>
      <c r="N67" s="409"/>
      <c r="O67" s="409"/>
      <c r="P67" s="409"/>
      <c r="Q67" s="409"/>
      <c r="R67" s="409"/>
      <c r="S67" s="409"/>
      <c r="T67" s="409"/>
      <c r="U67" s="409"/>
      <c r="V67" s="409"/>
      <c r="W67" s="409"/>
      <c r="X67" s="409"/>
      <c r="Y67" s="409"/>
      <c r="Z67" s="409"/>
    </row>
    <row r="68" spans="1:26" ht="15.75" customHeight="1" x14ac:dyDescent="0.3">
      <c r="A68" s="374" t="s">
        <v>96</v>
      </c>
      <c r="B68" s="419">
        <v>0</v>
      </c>
      <c r="C68" s="419">
        <v>0</v>
      </c>
      <c r="D68" s="421">
        <v>0</v>
      </c>
      <c r="E68" s="419">
        <v>1</v>
      </c>
      <c r="F68" s="421">
        <v>0</v>
      </c>
      <c r="G68" s="421">
        <v>0</v>
      </c>
      <c r="H68" s="422">
        <v>0</v>
      </c>
      <c r="I68" s="422">
        <v>0</v>
      </c>
      <c r="J68" s="422">
        <v>0</v>
      </c>
      <c r="K68" s="422">
        <v>0</v>
      </c>
      <c r="L68" s="423" t="e">
        <f t="shared" si="21"/>
        <v>#DIV/0!</v>
      </c>
      <c r="M68" s="423" t="e">
        <f t="shared" si="22"/>
        <v>#DIV/0!</v>
      </c>
      <c r="N68" s="409"/>
      <c r="O68" s="409"/>
      <c r="P68" s="409"/>
      <c r="Q68" s="409"/>
      <c r="R68" s="409"/>
      <c r="S68" s="409"/>
      <c r="T68" s="409"/>
      <c r="U68" s="409"/>
      <c r="V68" s="409"/>
      <c r="W68" s="409"/>
      <c r="X68" s="409"/>
      <c r="Y68" s="409"/>
      <c r="Z68" s="409"/>
    </row>
    <row r="69" spans="1:26" ht="15.75" customHeight="1" x14ac:dyDescent="0.3">
      <c r="A69" s="374" t="s">
        <v>158</v>
      </c>
      <c r="B69" s="419"/>
      <c r="C69" s="419"/>
      <c r="D69" s="421"/>
      <c r="E69" s="419"/>
      <c r="F69" s="421"/>
      <c r="G69" s="421"/>
      <c r="H69" s="422"/>
      <c r="I69" s="422"/>
      <c r="J69" s="422"/>
      <c r="K69" s="422"/>
      <c r="L69" s="423"/>
      <c r="M69" s="423"/>
      <c r="N69" s="409"/>
      <c r="O69" s="409"/>
      <c r="P69" s="409"/>
      <c r="Q69" s="409"/>
      <c r="R69" s="409"/>
      <c r="S69" s="409"/>
      <c r="T69" s="409"/>
      <c r="U69" s="409"/>
      <c r="V69" s="409"/>
      <c r="W69" s="409"/>
      <c r="X69" s="409"/>
      <c r="Y69" s="409"/>
      <c r="Z69" s="409"/>
    </row>
    <row r="70" spans="1:26" ht="15.75" customHeight="1" x14ac:dyDescent="0.3">
      <c r="A70" s="377" t="s">
        <v>443</v>
      </c>
      <c r="B70" s="417">
        <v>0</v>
      </c>
      <c r="C70" s="425">
        <v>24384</v>
      </c>
      <c r="D70" s="426">
        <v>0</v>
      </c>
      <c r="E70" s="425">
        <v>76329</v>
      </c>
      <c r="F70" s="426">
        <v>0</v>
      </c>
      <c r="G70" s="426">
        <v>0.32</v>
      </c>
      <c r="H70" s="427">
        <v>1044192</v>
      </c>
      <c r="I70" s="427">
        <v>601981</v>
      </c>
      <c r="J70" s="427">
        <v>3760945</v>
      </c>
      <c r="K70" s="427">
        <v>1115483</v>
      </c>
      <c r="L70" s="428">
        <f>H70/C70</f>
        <v>42.822834645669289</v>
      </c>
      <c r="M70" s="428">
        <f>I70/C70</f>
        <v>24.687541010498688</v>
      </c>
      <c r="N70" s="409"/>
      <c r="O70" s="409"/>
      <c r="P70" s="409"/>
      <c r="Q70" s="409"/>
      <c r="R70" s="409"/>
      <c r="S70" s="409"/>
      <c r="T70" s="409"/>
      <c r="U70" s="409"/>
      <c r="V70" s="409"/>
      <c r="W70" s="409"/>
      <c r="X70" s="409"/>
      <c r="Y70" s="409"/>
      <c r="Z70" s="409"/>
    </row>
    <row r="71" spans="1:26" ht="15.75" customHeight="1" x14ac:dyDescent="0.3">
      <c r="A71" s="409"/>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row>
    <row r="72" spans="1:26" ht="15.75" customHeight="1" x14ac:dyDescent="0.3">
      <c r="A72" s="410" t="s">
        <v>494</v>
      </c>
      <c r="B72" s="411"/>
      <c r="C72" s="411"/>
      <c r="D72" s="411"/>
      <c r="E72" s="411"/>
      <c r="F72" s="411"/>
      <c r="G72" s="411"/>
      <c r="H72" s="411"/>
      <c r="I72" s="411"/>
      <c r="J72" s="411"/>
      <c r="K72" s="411"/>
      <c r="L72" s="409"/>
      <c r="M72" s="409"/>
      <c r="N72" s="409"/>
      <c r="O72" s="409"/>
      <c r="P72" s="409"/>
      <c r="Q72" s="409"/>
      <c r="R72" s="409"/>
      <c r="S72" s="409"/>
      <c r="T72" s="409"/>
      <c r="U72" s="409"/>
      <c r="V72" s="409"/>
      <c r="W72" s="409"/>
      <c r="X72" s="409"/>
      <c r="Y72" s="409"/>
      <c r="Z72" s="409"/>
    </row>
    <row r="73" spans="1:26" ht="15.75" customHeight="1" x14ac:dyDescent="0.3">
      <c r="A73" s="412" t="s">
        <v>472</v>
      </c>
      <c r="B73" s="413" t="s">
        <v>479</v>
      </c>
      <c r="C73" s="414" t="s">
        <v>446</v>
      </c>
      <c r="D73" s="414" t="s">
        <v>480</v>
      </c>
      <c r="E73" s="415" t="s">
        <v>459</v>
      </c>
      <c r="F73" s="415" t="s">
        <v>481</v>
      </c>
      <c r="G73" s="416" t="s">
        <v>482</v>
      </c>
      <c r="H73" s="417" t="s">
        <v>461</v>
      </c>
      <c r="I73" s="417" t="s">
        <v>463</v>
      </c>
      <c r="J73" s="417" t="s">
        <v>483</v>
      </c>
      <c r="K73" s="417" t="s">
        <v>484</v>
      </c>
      <c r="L73" s="418" t="s">
        <v>485</v>
      </c>
      <c r="M73" s="418" t="s">
        <v>486</v>
      </c>
      <c r="N73" s="409"/>
      <c r="O73" s="409"/>
      <c r="P73" s="409"/>
      <c r="Q73" s="409"/>
      <c r="R73" s="409"/>
      <c r="S73" s="409"/>
      <c r="T73" s="409"/>
      <c r="U73" s="409"/>
      <c r="V73" s="409"/>
      <c r="W73" s="409"/>
      <c r="X73" s="409"/>
      <c r="Y73" s="409"/>
      <c r="Z73" s="409"/>
    </row>
    <row r="74" spans="1:26" ht="15.75" customHeight="1" x14ac:dyDescent="0.3">
      <c r="A74" s="374" t="s">
        <v>145</v>
      </c>
      <c r="B74" s="419">
        <v>0</v>
      </c>
      <c r="C74" s="420">
        <v>22822</v>
      </c>
      <c r="D74" s="421">
        <v>0</v>
      </c>
      <c r="E74" s="420">
        <v>26191</v>
      </c>
      <c r="F74" s="421">
        <v>0</v>
      </c>
      <c r="G74" s="421">
        <v>0.87</v>
      </c>
      <c r="H74" s="422">
        <v>219552</v>
      </c>
      <c r="I74" s="422">
        <v>267342</v>
      </c>
      <c r="J74" s="422">
        <v>40116</v>
      </c>
      <c r="K74" s="422">
        <v>41291</v>
      </c>
      <c r="L74" s="423">
        <f t="shared" ref="L74:L86" si="23">H74/C74</f>
        <v>9.6201910437297347</v>
      </c>
      <c r="M74" s="423">
        <f t="shared" ref="M74:M86" si="24">I74/C74</f>
        <v>11.714223118043993</v>
      </c>
      <c r="N74" s="409"/>
      <c r="O74" s="409"/>
      <c r="P74" s="409"/>
      <c r="Q74" s="409"/>
      <c r="R74" s="409"/>
      <c r="S74" s="409"/>
      <c r="T74" s="409"/>
      <c r="U74" s="409"/>
      <c r="V74" s="409"/>
      <c r="W74" s="409"/>
      <c r="X74" s="409"/>
      <c r="Y74" s="409"/>
      <c r="Z74" s="409"/>
    </row>
    <row r="75" spans="1:26" ht="15.75" customHeight="1" x14ac:dyDescent="0.3">
      <c r="A75" s="374" t="s">
        <v>146</v>
      </c>
      <c r="B75" s="419">
        <v>0</v>
      </c>
      <c r="C75" s="419">
        <v>795</v>
      </c>
      <c r="D75" s="421">
        <v>0</v>
      </c>
      <c r="E75" s="419">
        <v>591</v>
      </c>
      <c r="F75" s="421">
        <v>0</v>
      </c>
      <c r="G75" s="421">
        <v>1.35</v>
      </c>
      <c r="H75" s="422">
        <v>42747</v>
      </c>
      <c r="I75" s="422">
        <v>46929</v>
      </c>
      <c r="J75" s="422">
        <v>-10957</v>
      </c>
      <c r="K75" s="422">
        <v>-12054</v>
      </c>
      <c r="L75" s="423">
        <f t="shared" si="23"/>
        <v>53.769811320754719</v>
      </c>
      <c r="M75" s="423">
        <f t="shared" si="24"/>
        <v>59.030188679245285</v>
      </c>
      <c r="N75" s="409"/>
      <c r="O75" s="409"/>
      <c r="P75" s="409"/>
      <c r="Q75" s="409"/>
      <c r="R75" s="409"/>
      <c r="S75" s="409"/>
      <c r="T75" s="409"/>
      <c r="U75" s="409"/>
      <c r="V75" s="409"/>
      <c r="W75" s="409"/>
      <c r="X75" s="409"/>
      <c r="Y75" s="409"/>
      <c r="Z75" s="409"/>
    </row>
    <row r="76" spans="1:26" ht="34.5" customHeight="1" x14ac:dyDescent="0.3">
      <c r="A76" s="374" t="s">
        <v>147</v>
      </c>
      <c r="B76" s="419">
        <v>0</v>
      </c>
      <c r="C76" s="420">
        <v>1211</v>
      </c>
      <c r="D76" s="421">
        <v>0</v>
      </c>
      <c r="E76" s="420">
        <v>8180</v>
      </c>
      <c r="F76" s="421">
        <v>0</v>
      </c>
      <c r="G76" s="421">
        <v>0.15</v>
      </c>
      <c r="H76" s="422">
        <v>471959</v>
      </c>
      <c r="I76" s="422">
        <v>176863</v>
      </c>
      <c r="J76" s="422">
        <v>2482408</v>
      </c>
      <c r="K76" s="422">
        <v>701525</v>
      </c>
      <c r="L76" s="423">
        <f t="shared" si="23"/>
        <v>389.72667217175888</v>
      </c>
      <c r="M76" s="423">
        <f t="shared" si="24"/>
        <v>146.04706853839801</v>
      </c>
      <c r="N76" s="409"/>
      <c r="O76" s="409"/>
      <c r="P76" s="409"/>
      <c r="Q76" s="409"/>
      <c r="R76" s="409"/>
      <c r="S76" s="409"/>
      <c r="T76" s="409"/>
      <c r="U76" s="409"/>
      <c r="V76" s="409"/>
      <c r="W76" s="409"/>
      <c r="X76" s="409"/>
      <c r="Y76" s="409"/>
      <c r="Z76" s="409"/>
    </row>
    <row r="77" spans="1:26" ht="15.75" customHeight="1" x14ac:dyDescent="0.3">
      <c r="A77" s="374" t="s">
        <v>148</v>
      </c>
      <c r="B77" s="419">
        <v>0</v>
      </c>
      <c r="C77" s="419">
        <v>6</v>
      </c>
      <c r="D77" s="421">
        <v>0</v>
      </c>
      <c r="E77" s="420">
        <v>1748</v>
      </c>
      <c r="F77" s="421">
        <v>0</v>
      </c>
      <c r="G77" s="421">
        <v>0</v>
      </c>
      <c r="H77" s="422">
        <v>0</v>
      </c>
      <c r="I77" s="422">
        <v>6390</v>
      </c>
      <c r="J77" s="422">
        <v>759008</v>
      </c>
      <c r="K77" s="422">
        <v>298196</v>
      </c>
      <c r="L77" s="423">
        <f t="shared" si="23"/>
        <v>0</v>
      </c>
      <c r="M77" s="423">
        <f t="shared" si="24"/>
        <v>1065</v>
      </c>
      <c r="N77" s="409"/>
      <c r="O77" s="409"/>
      <c r="P77" s="409"/>
      <c r="Q77" s="409"/>
      <c r="R77" s="409"/>
      <c r="S77" s="409"/>
      <c r="T77" s="409"/>
      <c r="U77" s="409"/>
      <c r="V77" s="409"/>
      <c r="W77" s="409"/>
      <c r="X77" s="409"/>
      <c r="Y77" s="409"/>
      <c r="Z77" s="409"/>
    </row>
    <row r="78" spans="1:26" ht="15.75" customHeight="1" x14ac:dyDescent="0.3">
      <c r="A78" s="374" t="s">
        <v>149</v>
      </c>
      <c r="B78" s="419">
        <v>0</v>
      </c>
      <c r="C78" s="419">
        <v>558</v>
      </c>
      <c r="D78" s="421">
        <v>0</v>
      </c>
      <c r="E78" s="420">
        <v>2331</v>
      </c>
      <c r="F78" s="421">
        <v>0</v>
      </c>
      <c r="G78" s="421">
        <v>0.24</v>
      </c>
      <c r="H78" s="422">
        <v>161572</v>
      </c>
      <c r="I78" s="422">
        <v>101780</v>
      </c>
      <c r="J78" s="422">
        <v>530070</v>
      </c>
      <c r="K78" s="422">
        <v>184849</v>
      </c>
      <c r="L78" s="423">
        <f t="shared" si="23"/>
        <v>289.55555555555554</v>
      </c>
      <c r="M78" s="423">
        <f t="shared" si="24"/>
        <v>182.40143369175627</v>
      </c>
      <c r="N78" s="409"/>
      <c r="O78" s="409"/>
      <c r="P78" s="409"/>
      <c r="Q78" s="409"/>
      <c r="R78" s="409"/>
      <c r="S78" s="409"/>
      <c r="T78" s="409"/>
      <c r="U78" s="409"/>
      <c r="V78" s="409"/>
      <c r="W78" s="409"/>
      <c r="X78" s="409"/>
      <c r="Y78" s="409"/>
      <c r="Z78" s="409"/>
    </row>
    <row r="79" spans="1:26" ht="15.75" customHeight="1" x14ac:dyDescent="0.3">
      <c r="A79" s="374" t="s">
        <v>198</v>
      </c>
      <c r="B79" s="419">
        <v>0</v>
      </c>
      <c r="C79" s="419">
        <v>501</v>
      </c>
      <c r="D79" s="421">
        <v>0</v>
      </c>
      <c r="E79" s="420">
        <v>3356</v>
      </c>
      <c r="F79" s="421">
        <v>0</v>
      </c>
      <c r="G79" s="421">
        <v>0.15</v>
      </c>
      <c r="H79" s="422">
        <v>10171</v>
      </c>
      <c r="I79" s="422">
        <v>11945</v>
      </c>
      <c r="J79" s="422">
        <v>58344</v>
      </c>
      <c r="K79" s="422">
        <v>69014</v>
      </c>
      <c r="L79" s="423">
        <f t="shared" si="23"/>
        <v>20.301397205588824</v>
      </c>
      <c r="M79" s="423">
        <f t="shared" si="24"/>
        <v>23.842315369261478</v>
      </c>
      <c r="N79" s="409"/>
      <c r="O79" s="409"/>
      <c r="P79" s="409"/>
      <c r="Q79" s="409"/>
      <c r="R79" s="409"/>
      <c r="S79" s="409"/>
      <c r="T79" s="409"/>
      <c r="U79" s="409"/>
      <c r="V79" s="409"/>
      <c r="W79" s="409"/>
      <c r="X79" s="409"/>
      <c r="Y79" s="409"/>
      <c r="Z79" s="409"/>
    </row>
    <row r="80" spans="1:26" ht="15.75" customHeight="1" x14ac:dyDescent="0.3">
      <c r="A80" s="374" t="s">
        <v>199</v>
      </c>
      <c r="B80" s="419">
        <v>0</v>
      </c>
      <c r="C80" s="419">
        <v>420</v>
      </c>
      <c r="D80" s="421">
        <v>0</v>
      </c>
      <c r="E80" s="420">
        <v>2707</v>
      </c>
      <c r="F80" s="421">
        <v>0</v>
      </c>
      <c r="G80" s="421">
        <v>0.16</v>
      </c>
      <c r="H80" s="422">
        <v>10158</v>
      </c>
      <c r="I80" s="422">
        <v>14043</v>
      </c>
      <c r="J80" s="422">
        <v>58413</v>
      </c>
      <c r="K80" s="422">
        <v>61855</v>
      </c>
      <c r="L80" s="423">
        <f t="shared" si="23"/>
        <v>24.185714285714287</v>
      </c>
      <c r="M80" s="423">
        <f t="shared" si="24"/>
        <v>33.435714285714283</v>
      </c>
      <c r="N80" s="409"/>
      <c r="O80" s="409"/>
      <c r="P80" s="409"/>
      <c r="Q80" s="409"/>
      <c r="R80" s="409"/>
      <c r="S80" s="409"/>
      <c r="T80" s="409"/>
      <c r="U80" s="409"/>
      <c r="V80" s="409"/>
      <c r="W80" s="409"/>
      <c r="X80" s="409"/>
      <c r="Y80" s="409"/>
      <c r="Z80" s="409"/>
    </row>
    <row r="81" spans="1:26" ht="15.75" customHeight="1" x14ac:dyDescent="0.3">
      <c r="A81" s="374" t="s">
        <v>152</v>
      </c>
      <c r="B81" s="419">
        <v>0</v>
      </c>
      <c r="C81" s="419">
        <v>38</v>
      </c>
      <c r="D81" s="421">
        <v>0</v>
      </c>
      <c r="E81" s="419">
        <v>159</v>
      </c>
      <c r="F81" s="421">
        <v>0</v>
      </c>
      <c r="G81" s="421">
        <v>0.24</v>
      </c>
      <c r="H81" s="422">
        <v>706</v>
      </c>
      <c r="I81" s="422">
        <v>0</v>
      </c>
      <c r="J81" s="422">
        <v>0</v>
      </c>
      <c r="K81" s="422">
        <v>0</v>
      </c>
      <c r="L81" s="423">
        <f t="shared" si="23"/>
        <v>18.578947368421051</v>
      </c>
      <c r="M81" s="423">
        <f t="shared" si="24"/>
        <v>0</v>
      </c>
      <c r="N81" s="409"/>
      <c r="O81" s="409"/>
      <c r="P81" s="409"/>
      <c r="Q81" s="409"/>
      <c r="R81" s="409"/>
      <c r="S81" s="409"/>
      <c r="T81" s="409"/>
      <c r="U81" s="409"/>
      <c r="V81" s="409"/>
      <c r="W81" s="409"/>
      <c r="X81" s="409"/>
      <c r="Y81" s="409"/>
      <c r="Z81" s="409"/>
    </row>
    <row r="82" spans="1:26" ht="15.75" customHeight="1" x14ac:dyDescent="0.3">
      <c r="A82" s="374" t="s">
        <v>153</v>
      </c>
      <c r="B82" s="419">
        <v>0</v>
      </c>
      <c r="C82" s="419">
        <v>12</v>
      </c>
      <c r="D82" s="421">
        <v>0</v>
      </c>
      <c r="E82" s="420">
        <v>24256</v>
      </c>
      <c r="F82" s="421">
        <v>0</v>
      </c>
      <c r="G82" s="421">
        <v>0</v>
      </c>
      <c r="H82" s="422">
        <v>163</v>
      </c>
      <c r="I82" s="422">
        <v>29</v>
      </c>
      <c r="J82" s="422">
        <v>533471</v>
      </c>
      <c r="K82" s="422">
        <v>-28983</v>
      </c>
      <c r="L82" s="423">
        <f t="shared" si="23"/>
        <v>13.583333333333334</v>
      </c>
      <c r="M82" s="423">
        <f t="shared" si="24"/>
        <v>2.4166666666666665</v>
      </c>
      <c r="N82" s="409"/>
      <c r="O82" s="409"/>
      <c r="P82" s="409"/>
      <c r="Q82" s="409"/>
      <c r="R82" s="409"/>
      <c r="S82" s="409"/>
      <c r="T82" s="409"/>
      <c r="U82" s="409"/>
      <c r="V82" s="409"/>
      <c r="W82" s="409"/>
      <c r="X82" s="409"/>
      <c r="Y82" s="409"/>
      <c r="Z82" s="409"/>
    </row>
    <row r="83" spans="1:26" ht="15.75" customHeight="1" x14ac:dyDescent="0.3">
      <c r="A83" s="374" t="s">
        <v>154</v>
      </c>
      <c r="B83" s="419">
        <v>0</v>
      </c>
      <c r="C83" s="419">
        <v>0</v>
      </c>
      <c r="D83" s="421">
        <v>0</v>
      </c>
      <c r="E83" s="419">
        <v>78</v>
      </c>
      <c r="F83" s="421">
        <v>0</v>
      </c>
      <c r="G83" s="421">
        <v>0</v>
      </c>
      <c r="H83" s="422">
        <v>0</v>
      </c>
      <c r="I83" s="422">
        <v>0</v>
      </c>
      <c r="J83" s="422">
        <v>0</v>
      </c>
      <c r="K83" s="422">
        <v>0</v>
      </c>
      <c r="L83" s="423" t="e">
        <f t="shared" si="23"/>
        <v>#DIV/0!</v>
      </c>
      <c r="M83" s="423" t="e">
        <f t="shared" si="24"/>
        <v>#DIV/0!</v>
      </c>
      <c r="N83" s="409"/>
      <c r="O83" s="409"/>
      <c r="P83" s="409"/>
      <c r="Q83" s="409"/>
      <c r="R83" s="409"/>
      <c r="S83" s="409"/>
      <c r="T83" s="409"/>
      <c r="U83" s="409"/>
      <c r="V83" s="409"/>
      <c r="W83" s="409"/>
      <c r="X83" s="409"/>
      <c r="Y83" s="409"/>
      <c r="Z83" s="409"/>
    </row>
    <row r="84" spans="1:26" ht="15.75" customHeight="1" x14ac:dyDescent="0.3">
      <c r="A84" s="374" t="s">
        <v>155</v>
      </c>
      <c r="B84" s="419">
        <v>0</v>
      </c>
      <c r="C84" s="419">
        <v>0</v>
      </c>
      <c r="D84" s="421">
        <v>0</v>
      </c>
      <c r="E84" s="419">
        <v>543</v>
      </c>
      <c r="F84" s="421">
        <v>0</v>
      </c>
      <c r="G84" s="421">
        <v>0</v>
      </c>
      <c r="H84" s="422">
        <v>0</v>
      </c>
      <c r="I84" s="422">
        <v>0</v>
      </c>
      <c r="J84" s="422">
        <v>0</v>
      </c>
      <c r="K84" s="422">
        <v>0</v>
      </c>
      <c r="L84" s="423" t="e">
        <f t="shared" si="23"/>
        <v>#DIV/0!</v>
      </c>
      <c r="M84" s="423" t="e">
        <f t="shared" si="24"/>
        <v>#DIV/0!</v>
      </c>
      <c r="N84" s="409"/>
      <c r="O84" s="409"/>
      <c r="P84" s="409"/>
      <c r="Q84" s="409"/>
      <c r="R84" s="409"/>
      <c r="S84" s="409"/>
      <c r="T84" s="409"/>
      <c r="U84" s="409"/>
      <c r="V84" s="409"/>
      <c r="W84" s="409"/>
      <c r="X84" s="409"/>
      <c r="Y84" s="409"/>
      <c r="Z84" s="409"/>
    </row>
    <row r="85" spans="1:26" ht="15.75" customHeight="1" x14ac:dyDescent="0.3">
      <c r="A85" s="374" t="s">
        <v>156</v>
      </c>
      <c r="B85" s="419">
        <v>0</v>
      </c>
      <c r="C85" s="419">
        <v>0</v>
      </c>
      <c r="D85" s="421">
        <v>0</v>
      </c>
      <c r="E85" s="419">
        <v>8</v>
      </c>
      <c r="F85" s="421">
        <v>0</v>
      </c>
      <c r="G85" s="421">
        <v>0</v>
      </c>
      <c r="H85" s="422">
        <v>0</v>
      </c>
      <c r="I85" s="422">
        <v>0</v>
      </c>
      <c r="J85" s="422">
        <v>0</v>
      </c>
      <c r="K85" s="422">
        <v>0</v>
      </c>
      <c r="L85" s="423" t="e">
        <f t="shared" si="23"/>
        <v>#DIV/0!</v>
      </c>
      <c r="M85" s="423" t="e">
        <f t="shared" si="24"/>
        <v>#DIV/0!</v>
      </c>
      <c r="N85" s="409"/>
      <c r="O85" s="409"/>
      <c r="P85" s="409"/>
      <c r="Q85" s="409"/>
      <c r="R85" s="409"/>
      <c r="S85" s="409"/>
      <c r="T85" s="409"/>
      <c r="U85" s="409"/>
      <c r="V85" s="409"/>
      <c r="W85" s="409"/>
      <c r="X85" s="409"/>
      <c r="Y85" s="409"/>
      <c r="Z85" s="409"/>
    </row>
    <row r="86" spans="1:26" ht="15.75" customHeight="1" x14ac:dyDescent="0.3">
      <c r="A86" s="374" t="s">
        <v>96</v>
      </c>
      <c r="B86" s="419">
        <v>0</v>
      </c>
      <c r="C86" s="419">
        <v>0</v>
      </c>
      <c r="D86" s="421">
        <v>0</v>
      </c>
      <c r="E86" s="419">
        <v>3</v>
      </c>
      <c r="F86" s="421">
        <v>0</v>
      </c>
      <c r="G86" s="421">
        <v>0</v>
      </c>
      <c r="H86" s="422">
        <v>0</v>
      </c>
      <c r="I86" s="422">
        <v>0</v>
      </c>
      <c r="J86" s="422">
        <v>0</v>
      </c>
      <c r="K86" s="422">
        <v>0</v>
      </c>
      <c r="L86" s="423" t="e">
        <f t="shared" si="23"/>
        <v>#DIV/0!</v>
      </c>
      <c r="M86" s="423" t="e">
        <f t="shared" si="24"/>
        <v>#DIV/0!</v>
      </c>
      <c r="N86" s="409"/>
      <c r="O86" s="409"/>
      <c r="P86" s="409"/>
      <c r="Q86" s="409"/>
      <c r="R86" s="409"/>
      <c r="S86" s="409"/>
      <c r="T86" s="409"/>
      <c r="U86" s="409"/>
      <c r="V86" s="409"/>
      <c r="W86" s="409"/>
      <c r="X86" s="409"/>
      <c r="Y86" s="409"/>
      <c r="Z86" s="409"/>
    </row>
    <row r="87" spans="1:26" ht="15.75" customHeight="1" x14ac:dyDescent="0.3">
      <c r="A87" s="374" t="s">
        <v>158</v>
      </c>
      <c r="B87" s="419"/>
      <c r="C87" s="419"/>
      <c r="D87" s="421"/>
      <c r="E87" s="419"/>
      <c r="F87" s="421"/>
      <c r="G87" s="421"/>
      <c r="H87" s="422"/>
      <c r="I87" s="422"/>
      <c r="J87" s="422"/>
      <c r="K87" s="422"/>
      <c r="L87" s="423"/>
      <c r="M87" s="423"/>
      <c r="N87" s="409"/>
      <c r="O87" s="409"/>
      <c r="P87" s="409"/>
      <c r="Q87" s="409"/>
      <c r="R87" s="409"/>
      <c r="S87" s="409"/>
      <c r="T87" s="409"/>
      <c r="U87" s="409"/>
      <c r="V87" s="409"/>
      <c r="W87" s="409"/>
      <c r="X87" s="409"/>
      <c r="Y87" s="409"/>
      <c r="Z87" s="409"/>
    </row>
    <row r="88" spans="1:26" ht="15.75" customHeight="1" x14ac:dyDescent="0.3">
      <c r="A88" s="377" t="s">
        <v>443</v>
      </c>
      <c r="B88" s="417">
        <v>0</v>
      </c>
      <c r="C88" s="425">
        <v>26363</v>
      </c>
      <c r="D88" s="426">
        <v>0</v>
      </c>
      <c r="E88" s="425">
        <v>70151</v>
      </c>
      <c r="F88" s="426">
        <v>0</v>
      </c>
      <c r="G88" s="426">
        <v>0.38</v>
      </c>
      <c r="H88" s="427">
        <v>917028</v>
      </c>
      <c r="I88" s="427">
        <v>625321</v>
      </c>
      <c r="J88" s="427">
        <v>4450872</v>
      </c>
      <c r="K88" s="427">
        <v>1315693</v>
      </c>
      <c r="L88" s="428">
        <f>H88/C88</f>
        <v>34.784660319387022</v>
      </c>
      <c r="M88" s="428">
        <f>I88/C88</f>
        <v>23.719644956947235</v>
      </c>
      <c r="N88" s="409"/>
      <c r="O88" s="409"/>
      <c r="P88" s="409"/>
      <c r="Q88" s="409"/>
      <c r="R88" s="409"/>
      <c r="S88" s="409"/>
      <c r="T88" s="409"/>
      <c r="U88" s="409"/>
      <c r="V88" s="409"/>
      <c r="W88" s="409"/>
      <c r="X88" s="409"/>
      <c r="Y88" s="409"/>
      <c r="Z88" s="409"/>
    </row>
    <row r="89" spans="1:26" ht="15.75" customHeight="1" x14ac:dyDescent="0.3">
      <c r="A89" s="409"/>
      <c r="B89" s="409"/>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row>
    <row r="90" spans="1:26" ht="15.75" customHeight="1" x14ac:dyDescent="0.3">
      <c r="A90" s="410" t="s">
        <v>495</v>
      </c>
      <c r="B90" s="411"/>
      <c r="C90" s="411"/>
      <c r="D90" s="411"/>
      <c r="E90" s="411"/>
      <c r="F90" s="411"/>
      <c r="G90" s="411"/>
      <c r="H90" s="411"/>
      <c r="I90" s="411"/>
      <c r="J90" s="411"/>
      <c r="K90" s="411"/>
      <c r="L90" s="409"/>
      <c r="M90" s="409"/>
      <c r="N90" s="409"/>
      <c r="O90" s="409"/>
      <c r="P90" s="409"/>
      <c r="Q90" s="409"/>
      <c r="R90" s="409"/>
      <c r="S90" s="409"/>
      <c r="T90" s="409"/>
      <c r="U90" s="409"/>
      <c r="V90" s="409"/>
      <c r="W90" s="409"/>
      <c r="X90" s="409"/>
      <c r="Y90" s="409"/>
      <c r="Z90" s="409"/>
    </row>
    <row r="91" spans="1:26" ht="15.75" customHeight="1" x14ac:dyDescent="0.3">
      <c r="A91" s="412" t="s">
        <v>472</v>
      </c>
      <c r="B91" s="413" t="s">
        <v>479</v>
      </c>
      <c r="C91" s="414" t="s">
        <v>446</v>
      </c>
      <c r="D91" s="414" t="s">
        <v>480</v>
      </c>
      <c r="E91" s="415" t="s">
        <v>459</v>
      </c>
      <c r="F91" s="415" t="s">
        <v>481</v>
      </c>
      <c r="G91" s="416" t="s">
        <v>482</v>
      </c>
      <c r="H91" s="417" t="s">
        <v>461</v>
      </c>
      <c r="I91" s="417" t="s">
        <v>463</v>
      </c>
      <c r="J91" s="417" t="s">
        <v>483</v>
      </c>
      <c r="K91" s="417" t="s">
        <v>484</v>
      </c>
      <c r="L91" s="418" t="s">
        <v>485</v>
      </c>
      <c r="M91" s="418" t="s">
        <v>486</v>
      </c>
      <c r="N91" s="409"/>
      <c r="O91" s="409"/>
      <c r="P91" s="409"/>
      <c r="Q91" s="409"/>
      <c r="R91" s="409"/>
      <c r="S91" s="409"/>
      <c r="T91" s="409"/>
      <c r="U91" s="409"/>
      <c r="V91" s="409"/>
      <c r="W91" s="409"/>
      <c r="X91" s="409"/>
      <c r="Y91" s="409"/>
      <c r="Z91" s="409"/>
    </row>
    <row r="92" spans="1:26" ht="15.75" customHeight="1" x14ac:dyDescent="0.3">
      <c r="A92" s="374" t="s">
        <v>165</v>
      </c>
      <c r="B92" s="419">
        <v>0</v>
      </c>
      <c r="C92" s="420">
        <v>3211</v>
      </c>
      <c r="D92" s="421">
        <v>0</v>
      </c>
      <c r="E92" s="420">
        <v>6294</v>
      </c>
      <c r="F92" s="421">
        <v>0</v>
      </c>
      <c r="G92" s="421">
        <v>0.51</v>
      </c>
      <c r="H92" s="422">
        <v>400425</v>
      </c>
      <c r="I92" s="422">
        <v>653789</v>
      </c>
      <c r="J92" s="422">
        <v>325999</v>
      </c>
      <c r="K92" s="422">
        <v>537103</v>
      </c>
      <c r="L92" s="423">
        <f t="shared" ref="L92:L95" si="25">H92/C92</f>
        <v>124.70414201183432</v>
      </c>
      <c r="M92" s="423">
        <f t="shared" ref="M92:M95" si="26">I92/C92</f>
        <v>203.60915602616006</v>
      </c>
      <c r="N92" s="409"/>
      <c r="O92" s="409"/>
      <c r="P92" s="409"/>
      <c r="Q92" s="409"/>
      <c r="R92" s="409"/>
      <c r="S92" s="409"/>
      <c r="T92" s="409"/>
      <c r="U92" s="409"/>
      <c r="V92" s="409"/>
      <c r="W92" s="409"/>
      <c r="X92" s="409"/>
      <c r="Y92" s="409"/>
      <c r="Z92" s="409"/>
    </row>
    <row r="93" spans="1:26" ht="15.75" customHeight="1" x14ac:dyDescent="0.3">
      <c r="A93" s="374" t="s">
        <v>166</v>
      </c>
      <c r="B93" s="419">
        <v>0</v>
      </c>
      <c r="C93" s="419">
        <v>158</v>
      </c>
      <c r="D93" s="421">
        <v>0</v>
      </c>
      <c r="E93" s="419">
        <v>463</v>
      </c>
      <c r="F93" s="421">
        <v>0</v>
      </c>
      <c r="G93" s="421">
        <v>0.34</v>
      </c>
      <c r="H93" s="422">
        <v>170781</v>
      </c>
      <c r="I93" s="422">
        <v>228725</v>
      </c>
      <c r="J93" s="422">
        <v>433898</v>
      </c>
      <c r="K93" s="422">
        <v>240561</v>
      </c>
      <c r="L93" s="423">
        <f t="shared" si="25"/>
        <v>1080.8924050632911</v>
      </c>
      <c r="M93" s="423">
        <f t="shared" si="26"/>
        <v>1447.626582278481</v>
      </c>
      <c r="N93" s="409"/>
      <c r="O93" s="409"/>
      <c r="P93" s="409"/>
      <c r="Q93" s="409"/>
      <c r="R93" s="409"/>
      <c r="S93" s="409"/>
      <c r="T93" s="409"/>
      <c r="U93" s="409"/>
      <c r="V93" s="409"/>
      <c r="W93" s="409"/>
      <c r="X93" s="409"/>
      <c r="Y93" s="409"/>
      <c r="Z93" s="409"/>
    </row>
    <row r="94" spans="1:26" ht="15.75" customHeight="1" x14ac:dyDescent="0.3">
      <c r="A94" s="374" t="s">
        <v>172</v>
      </c>
      <c r="B94" s="419">
        <v>0</v>
      </c>
      <c r="C94" s="420">
        <v>1264</v>
      </c>
      <c r="D94" s="421">
        <v>0</v>
      </c>
      <c r="E94" s="420">
        <v>2179</v>
      </c>
      <c r="F94" s="421">
        <v>0</v>
      </c>
      <c r="G94" s="421">
        <v>0.57999999999999996</v>
      </c>
      <c r="H94" s="422">
        <v>154578</v>
      </c>
      <c r="I94" s="422">
        <v>183519</v>
      </c>
      <c r="J94" s="422">
        <v>61461</v>
      </c>
      <c r="K94" s="422">
        <v>65925</v>
      </c>
      <c r="L94" s="423">
        <f t="shared" si="25"/>
        <v>122.29272151898734</v>
      </c>
      <c r="M94" s="423">
        <f t="shared" si="26"/>
        <v>145.18908227848101</v>
      </c>
      <c r="N94" s="409"/>
      <c r="O94" s="409"/>
      <c r="P94" s="409"/>
      <c r="Q94" s="409"/>
      <c r="R94" s="409"/>
      <c r="S94" s="409"/>
      <c r="T94" s="409"/>
      <c r="U94" s="409"/>
      <c r="V94" s="409"/>
      <c r="W94" s="409"/>
      <c r="X94" s="409"/>
      <c r="Y94" s="409"/>
      <c r="Z94" s="409"/>
    </row>
    <row r="95" spans="1:26" ht="15.75" customHeight="1" x14ac:dyDescent="0.3">
      <c r="A95" s="374" t="s">
        <v>173</v>
      </c>
      <c r="B95" s="419">
        <v>0</v>
      </c>
      <c r="C95" s="419">
        <v>120</v>
      </c>
      <c r="D95" s="421">
        <v>0</v>
      </c>
      <c r="E95" s="419">
        <v>167</v>
      </c>
      <c r="F95" s="421">
        <v>0</v>
      </c>
      <c r="G95" s="421">
        <v>0.72</v>
      </c>
      <c r="H95" s="422">
        <v>65310</v>
      </c>
      <c r="I95" s="422">
        <v>42090</v>
      </c>
      <c r="J95" s="422">
        <v>25228</v>
      </c>
      <c r="K95" s="422">
        <v>16837</v>
      </c>
      <c r="L95" s="423">
        <f t="shared" si="25"/>
        <v>544.25</v>
      </c>
      <c r="M95" s="423">
        <f t="shared" si="26"/>
        <v>350.75</v>
      </c>
      <c r="N95" s="409"/>
      <c r="O95" s="409"/>
      <c r="P95" s="409"/>
      <c r="Q95" s="409"/>
      <c r="R95" s="409"/>
      <c r="S95" s="409"/>
      <c r="T95" s="409"/>
      <c r="U95" s="409"/>
      <c r="V95" s="409"/>
      <c r="W95" s="409"/>
      <c r="X95" s="409"/>
      <c r="Y95" s="409"/>
      <c r="Z95" s="409"/>
    </row>
    <row r="96" spans="1:26" ht="15.75" customHeight="1" x14ac:dyDescent="0.3">
      <c r="A96" s="374" t="s">
        <v>175</v>
      </c>
      <c r="B96" s="419"/>
      <c r="C96" s="419"/>
      <c r="D96" s="421"/>
      <c r="E96" s="419"/>
      <c r="F96" s="421"/>
      <c r="G96" s="421"/>
      <c r="H96" s="422"/>
      <c r="I96" s="422"/>
      <c r="J96" s="422"/>
      <c r="K96" s="422"/>
      <c r="L96" s="423"/>
      <c r="M96" s="423"/>
      <c r="N96" s="409"/>
      <c r="O96" s="409"/>
      <c r="P96" s="409"/>
      <c r="Q96" s="409"/>
      <c r="R96" s="409"/>
      <c r="S96" s="409"/>
      <c r="T96" s="409"/>
      <c r="U96" s="409"/>
      <c r="V96" s="409"/>
      <c r="W96" s="409"/>
      <c r="X96" s="409"/>
      <c r="Y96" s="409"/>
      <c r="Z96" s="409"/>
    </row>
    <row r="97" spans="1:26" ht="15.75" customHeight="1" x14ac:dyDescent="0.3">
      <c r="A97" s="377" t="s">
        <v>443</v>
      </c>
      <c r="B97" s="417">
        <v>0</v>
      </c>
      <c r="C97" s="425">
        <v>4753</v>
      </c>
      <c r="D97" s="426">
        <v>0</v>
      </c>
      <c r="E97" s="425">
        <v>9103</v>
      </c>
      <c r="F97" s="426">
        <v>0</v>
      </c>
      <c r="G97" s="426">
        <v>0.52</v>
      </c>
      <c r="H97" s="427">
        <v>791094</v>
      </c>
      <c r="I97" s="427">
        <v>1108123</v>
      </c>
      <c r="J97" s="427">
        <v>846586</v>
      </c>
      <c r="K97" s="427">
        <v>860426</v>
      </c>
      <c r="L97" s="423">
        <f>H97/C97</f>
        <v>166.44098464127919</v>
      </c>
      <c r="M97" s="423">
        <f>I97/C97</f>
        <v>233.14180517567851</v>
      </c>
      <c r="N97" s="409"/>
      <c r="O97" s="409"/>
      <c r="P97" s="409"/>
      <c r="Q97" s="409"/>
      <c r="R97" s="409"/>
      <c r="S97" s="409"/>
      <c r="T97" s="409"/>
      <c r="U97" s="409"/>
      <c r="V97" s="409"/>
      <c r="W97" s="409"/>
      <c r="X97" s="409"/>
      <c r="Y97" s="409"/>
      <c r="Z97" s="409"/>
    </row>
    <row r="98" spans="1:26" ht="15.75" customHeight="1" x14ac:dyDescent="0.3">
      <c r="A98" s="409"/>
      <c r="B98" s="409"/>
      <c r="C98" s="409"/>
      <c r="D98" s="409"/>
      <c r="E98" s="409"/>
      <c r="F98" s="409"/>
      <c r="G98" s="409"/>
      <c r="H98" s="409"/>
      <c r="I98" s="409"/>
      <c r="J98" s="409"/>
      <c r="K98" s="409"/>
      <c r="L98" s="409"/>
      <c r="M98" s="409"/>
      <c r="N98" s="409"/>
      <c r="O98" s="409"/>
      <c r="P98" s="409"/>
      <c r="Q98" s="409"/>
      <c r="R98" s="409"/>
      <c r="S98" s="409"/>
      <c r="T98" s="409"/>
      <c r="U98" s="409"/>
      <c r="V98" s="409"/>
      <c r="W98" s="409"/>
      <c r="X98" s="409"/>
      <c r="Y98" s="409"/>
      <c r="Z98" s="409"/>
    </row>
    <row r="99" spans="1:26" ht="15.75" customHeight="1" x14ac:dyDescent="0.3">
      <c r="A99" s="410" t="s">
        <v>496</v>
      </c>
      <c r="B99" s="411"/>
      <c r="C99" s="411"/>
      <c r="D99" s="411"/>
      <c r="E99" s="411"/>
      <c r="F99" s="411"/>
      <c r="G99" s="411"/>
      <c r="H99" s="411"/>
      <c r="I99" s="411"/>
      <c r="J99" s="411"/>
      <c r="K99" s="411"/>
      <c r="L99" s="409"/>
      <c r="M99" s="409"/>
      <c r="N99" s="409"/>
      <c r="O99" s="409"/>
      <c r="P99" s="409"/>
      <c r="Q99" s="409"/>
      <c r="R99" s="409"/>
      <c r="S99" s="409"/>
      <c r="T99" s="409"/>
      <c r="U99" s="409"/>
      <c r="V99" s="409"/>
      <c r="W99" s="409"/>
      <c r="X99" s="409"/>
      <c r="Y99" s="409"/>
      <c r="Z99" s="409"/>
    </row>
    <row r="100" spans="1:26" ht="15.75" customHeight="1" x14ac:dyDescent="0.3">
      <c r="A100" s="412" t="s">
        <v>472</v>
      </c>
      <c r="B100" s="413" t="s">
        <v>479</v>
      </c>
      <c r="C100" s="414" t="s">
        <v>446</v>
      </c>
      <c r="D100" s="414" t="s">
        <v>480</v>
      </c>
      <c r="E100" s="415" t="s">
        <v>459</v>
      </c>
      <c r="F100" s="415" t="s">
        <v>481</v>
      </c>
      <c r="G100" s="416" t="s">
        <v>482</v>
      </c>
      <c r="H100" s="417" t="s">
        <v>461</v>
      </c>
      <c r="I100" s="417" t="s">
        <v>463</v>
      </c>
      <c r="J100" s="417" t="s">
        <v>483</v>
      </c>
      <c r="K100" s="417" t="s">
        <v>484</v>
      </c>
      <c r="L100" s="418" t="s">
        <v>485</v>
      </c>
      <c r="M100" s="418" t="s">
        <v>486</v>
      </c>
      <c r="N100" s="409"/>
      <c r="O100" s="409"/>
      <c r="P100" s="409"/>
      <c r="Q100" s="409"/>
      <c r="R100" s="409"/>
      <c r="S100" s="409"/>
      <c r="T100" s="409"/>
      <c r="U100" s="409"/>
      <c r="V100" s="409"/>
      <c r="W100" s="409"/>
      <c r="X100" s="409"/>
      <c r="Y100" s="409"/>
      <c r="Z100" s="409"/>
    </row>
    <row r="101" spans="1:26" ht="15.75" customHeight="1" x14ac:dyDescent="0.3">
      <c r="A101" s="374" t="s">
        <v>165</v>
      </c>
      <c r="B101" s="419">
        <v>0</v>
      </c>
      <c r="C101" s="420">
        <v>2234</v>
      </c>
      <c r="D101" s="421">
        <v>0</v>
      </c>
      <c r="E101" s="420">
        <v>4520</v>
      </c>
      <c r="F101" s="421">
        <v>0</v>
      </c>
      <c r="G101" s="421">
        <v>0.49</v>
      </c>
      <c r="H101" s="422">
        <v>257715</v>
      </c>
      <c r="I101" s="422">
        <v>443051</v>
      </c>
      <c r="J101" s="422">
        <v>267491</v>
      </c>
      <c r="K101" s="422">
        <v>441169</v>
      </c>
      <c r="L101" s="423">
        <f t="shared" ref="L101:L106" si="27">H101/C101</f>
        <v>115.36034019695613</v>
      </c>
      <c r="M101" s="423">
        <f t="shared" ref="M101:M106" si="28">I101/C101</f>
        <v>198.32184422560431</v>
      </c>
      <c r="N101" s="409"/>
      <c r="O101" s="409"/>
      <c r="P101" s="409"/>
      <c r="Q101" s="409"/>
      <c r="R101" s="409"/>
      <c r="S101" s="409"/>
      <c r="T101" s="409"/>
      <c r="U101" s="409"/>
      <c r="V101" s="409"/>
      <c r="W101" s="409"/>
      <c r="X101" s="409"/>
      <c r="Y101" s="409"/>
      <c r="Z101" s="409"/>
    </row>
    <row r="102" spans="1:26" ht="15.75" customHeight="1" x14ac:dyDescent="0.3">
      <c r="A102" s="374" t="s">
        <v>166</v>
      </c>
      <c r="B102" s="419">
        <v>0</v>
      </c>
      <c r="C102" s="419">
        <v>286</v>
      </c>
      <c r="D102" s="421">
        <v>0</v>
      </c>
      <c r="E102" s="419">
        <v>507</v>
      </c>
      <c r="F102" s="421">
        <v>0</v>
      </c>
      <c r="G102" s="421">
        <v>0.56000000000000005</v>
      </c>
      <c r="H102" s="422">
        <v>367675</v>
      </c>
      <c r="I102" s="422">
        <v>284954</v>
      </c>
      <c r="J102" s="422">
        <v>311090</v>
      </c>
      <c r="K102" s="422">
        <v>180607</v>
      </c>
      <c r="L102" s="423">
        <f t="shared" si="27"/>
        <v>1285.5769230769231</v>
      </c>
      <c r="M102" s="423">
        <f t="shared" si="28"/>
        <v>996.34265734265739</v>
      </c>
      <c r="N102" s="409"/>
      <c r="O102" s="409"/>
      <c r="P102" s="409"/>
      <c r="Q102" s="409"/>
      <c r="R102" s="409"/>
      <c r="S102" s="409"/>
      <c r="T102" s="409"/>
      <c r="U102" s="409"/>
      <c r="V102" s="409"/>
      <c r="W102" s="409"/>
      <c r="X102" s="409"/>
      <c r="Y102" s="409"/>
      <c r="Z102" s="409"/>
    </row>
    <row r="103" spans="1:26" ht="15.75" customHeight="1" x14ac:dyDescent="0.3">
      <c r="A103" s="374" t="s">
        <v>172</v>
      </c>
      <c r="B103" s="419">
        <v>0</v>
      </c>
      <c r="C103" s="420">
        <v>1040</v>
      </c>
      <c r="D103" s="421">
        <v>0</v>
      </c>
      <c r="E103" s="420">
        <v>1900</v>
      </c>
      <c r="F103" s="421">
        <v>0</v>
      </c>
      <c r="G103" s="421">
        <v>0.55000000000000004</v>
      </c>
      <c r="H103" s="422">
        <v>127073</v>
      </c>
      <c r="I103" s="422">
        <v>178052</v>
      </c>
      <c r="J103" s="422">
        <v>66080</v>
      </c>
      <c r="K103" s="422">
        <v>85965</v>
      </c>
      <c r="L103" s="423">
        <f t="shared" si="27"/>
        <v>122.18557692307692</v>
      </c>
      <c r="M103" s="423">
        <f t="shared" si="28"/>
        <v>171.20384615384614</v>
      </c>
      <c r="N103" s="409"/>
      <c r="O103" s="409"/>
      <c r="P103" s="409"/>
      <c r="Q103" s="409"/>
      <c r="R103" s="409"/>
      <c r="S103" s="409"/>
      <c r="T103" s="409"/>
      <c r="U103" s="409"/>
      <c r="V103" s="409"/>
      <c r="W103" s="409"/>
      <c r="X103" s="409"/>
      <c r="Y103" s="409"/>
      <c r="Z103" s="409"/>
    </row>
    <row r="104" spans="1:26" ht="15.75" customHeight="1" x14ac:dyDescent="0.3">
      <c r="A104" s="374" t="s">
        <v>173</v>
      </c>
      <c r="B104" s="419">
        <v>0</v>
      </c>
      <c r="C104" s="419">
        <v>68</v>
      </c>
      <c r="D104" s="421">
        <v>0</v>
      </c>
      <c r="E104" s="419">
        <v>140</v>
      </c>
      <c r="F104" s="421">
        <v>0</v>
      </c>
      <c r="G104" s="421">
        <v>0.49</v>
      </c>
      <c r="H104" s="422">
        <v>36500</v>
      </c>
      <c r="I104" s="422">
        <v>24360</v>
      </c>
      <c r="J104" s="422">
        <v>38647</v>
      </c>
      <c r="K104" s="422">
        <v>25793</v>
      </c>
      <c r="L104" s="423">
        <f t="shared" si="27"/>
        <v>536.76470588235293</v>
      </c>
      <c r="M104" s="423">
        <f t="shared" si="28"/>
        <v>358.23529411764707</v>
      </c>
      <c r="N104" s="409"/>
      <c r="O104" s="409"/>
      <c r="P104" s="409"/>
      <c r="Q104" s="409"/>
      <c r="R104" s="409"/>
      <c r="S104" s="409"/>
      <c r="T104" s="409"/>
      <c r="U104" s="409"/>
      <c r="V104" s="409"/>
      <c r="W104" s="409"/>
      <c r="X104" s="409"/>
      <c r="Y104" s="409"/>
      <c r="Z104" s="409"/>
    </row>
    <row r="105" spans="1:26" ht="15.75" customHeight="1" x14ac:dyDescent="0.3">
      <c r="A105" s="374" t="s">
        <v>175</v>
      </c>
      <c r="B105" s="419">
        <v>0</v>
      </c>
      <c r="C105" s="419">
        <v>0</v>
      </c>
      <c r="D105" s="421">
        <v>0</v>
      </c>
      <c r="E105" s="419">
        <v>7</v>
      </c>
      <c r="F105" s="421">
        <v>0</v>
      </c>
      <c r="G105" s="421">
        <v>0</v>
      </c>
      <c r="H105" s="422">
        <v>0</v>
      </c>
      <c r="I105" s="422">
        <v>0</v>
      </c>
      <c r="J105" s="422">
        <v>0</v>
      </c>
      <c r="K105" s="422">
        <v>0</v>
      </c>
      <c r="L105" s="423" t="e">
        <f t="shared" si="27"/>
        <v>#DIV/0!</v>
      </c>
      <c r="M105" s="423" t="e">
        <f t="shared" si="28"/>
        <v>#DIV/0!</v>
      </c>
      <c r="N105" s="409"/>
      <c r="O105" s="409"/>
      <c r="P105" s="409"/>
      <c r="Q105" s="409"/>
      <c r="R105" s="409"/>
      <c r="S105" s="409"/>
      <c r="T105" s="409"/>
      <c r="U105" s="409"/>
      <c r="V105" s="409"/>
      <c r="W105" s="409"/>
      <c r="X105" s="409"/>
      <c r="Y105" s="409"/>
      <c r="Z105" s="409"/>
    </row>
    <row r="106" spans="1:26" ht="15.75" customHeight="1" x14ac:dyDescent="0.3">
      <c r="A106" s="377" t="s">
        <v>443</v>
      </c>
      <c r="B106" s="417">
        <v>0</v>
      </c>
      <c r="C106" s="425">
        <v>3628</v>
      </c>
      <c r="D106" s="426">
        <v>0</v>
      </c>
      <c r="E106" s="425">
        <v>7074</v>
      </c>
      <c r="F106" s="426">
        <v>0</v>
      </c>
      <c r="G106" s="426">
        <v>0.51</v>
      </c>
      <c r="H106" s="427">
        <v>788963</v>
      </c>
      <c r="I106" s="427">
        <v>930417</v>
      </c>
      <c r="J106" s="427">
        <v>683309</v>
      </c>
      <c r="K106" s="427">
        <v>733534</v>
      </c>
      <c r="L106" s="428">
        <f t="shared" si="27"/>
        <v>217.46499448732084</v>
      </c>
      <c r="M106" s="428">
        <f t="shared" si="28"/>
        <v>256.45452039691293</v>
      </c>
      <c r="N106" s="409"/>
      <c r="O106" s="409"/>
      <c r="P106" s="409"/>
      <c r="Q106" s="409"/>
      <c r="R106" s="409"/>
      <c r="S106" s="409"/>
      <c r="T106" s="409"/>
      <c r="U106" s="409"/>
      <c r="V106" s="409"/>
      <c r="W106" s="409"/>
      <c r="X106" s="409"/>
      <c r="Y106" s="409"/>
      <c r="Z106" s="409"/>
    </row>
    <row r="107" spans="1:26" ht="15.75" customHeight="1" x14ac:dyDescent="0.3">
      <c r="A107" s="409"/>
      <c r="B107" s="409"/>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row>
    <row r="108" spans="1:26" ht="15.75" customHeight="1" x14ac:dyDescent="0.3">
      <c r="A108" s="410" t="s">
        <v>497</v>
      </c>
      <c r="B108" s="411"/>
      <c r="C108" s="411"/>
      <c r="D108" s="411"/>
      <c r="E108" s="411"/>
      <c r="F108" s="411"/>
      <c r="G108" s="411"/>
      <c r="H108" s="411"/>
      <c r="I108" s="411"/>
      <c r="J108" s="411"/>
      <c r="K108" s="411"/>
      <c r="L108" s="409"/>
      <c r="M108" s="409"/>
      <c r="N108" s="409"/>
      <c r="O108" s="409"/>
      <c r="P108" s="409"/>
      <c r="Q108" s="409"/>
      <c r="R108" s="409"/>
      <c r="S108" s="409"/>
      <c r="T108" s="409"/>
      <c r="U108" s="409"/>
      <c r="V108" s="409"/>
      <c r="W108" s="409"/>
      <c r="X108" s="409"/>
      <c r="Y108" s="409"/>
      <c r="Z108" s="409"/>
    </row>
    <row r="109" spans="1:26" ht="15.75" customHeight="1" x14ac:dyDescent="0.3">
      <c r="A109" s="412" t="s">
        <v>472</v>
      </c>
      <c r="B109" s="413" t="s">
        <v>479</v>
      </c>
      <c r="C109" s="414" t="s">
        <v>446</v>
      </c>
      <c r="D109" s="414" t="s">
        <v>480</v>
      </c>
      <c r="E109" s="415" t="s">
        <v>459</v>
      </c>
      <c r="F109" s="415" t="s">
        <v>481</v>
      </c>
      <c r="G109" s="416" t="s">
        <v>482</v>
      </c>
      <c r="H109" s="417" t="s">
        <v>461</v>
      </c>
      <c r="I109" s="417" t="s">
        <v>463</v>
      </c>
      <c r="J109" s="417" t="s">
        <v>483</v>
      </c>
      <c r="K109" s="417" t="s">
        <v>484</v>
      </c>
      <c r="L109" s="418" t="s">
        <v>485</v>
      </c>
      <c r="M109" s="418" t="s">
        <v>486</v>
      </c>
      <c r="N109" s="409"/>
      <c r="O109" s="409"/>
      <c r="P109" s="409"/>
      <c r="Q109" s="409"/>
      <c r="R109" s="409"/>
      <c r="S109" s="409"/>
      <c r="T109" s="409"/>
      <c r="U109" s="409"/>
      <c r="V109" s="409"/>
      <c r="W109" s="409"/>
      <c r="X109" s="409"/>
      <c r="Y109" s="409"/>
      <c r="Z109" s="409"/>
    </row>
    <row r="110" spans="1:26" ht="15.75" customHeight="1" x14ac:dyDescent="0.3">
      <c r="A110" s="374" t="s">
        <v>165</v>
      </c>
      <c r="B110" s="419">
        <v>0</v>
      </c>
      <c r="C110" s="420">
        <v>2031</v>
      </c>
      <c r="D110" s="421">
        <v>0</v>
      </c>
      <c r="E110" s="420">
        <v>4838</v>
      </c>
      <c r="F110" s="421">
        <v>0</v>
      </c>
      <c r="G110" s="421">
        <v>0.42</v>
      </c>
      <c r="H110" s="422">
        <v>188251</v>
      </c>
      <c r="I110" s="422">
        <v>328800</v>
      </c>
      <c r="J110" s="422">
        <v>344104</v>
      </c>
      <c r="K110" s="422">
        <v>561122</v>
      </c>
      <c r="L110" s="423">
        <f t="shared" ref="L110:L115" si="29">H110/C110</f>
        <v>92.68882323978336</v>
      </c>
      <c r="M110" s="423">
        <f t="shared" ref="M110:M115" si="30">I110/C110</f>
        <v>161.89069423929098</v>
      </c>
      <c r="N110" s="409"/>
      <c r="O110" s="409"/>
      <c r="P110" s="409"/>
      <c r="Q110" s="409"/>
      <c r="R110" s="409"/>
      <c r="S110" s="409"/>
      <c r="T110" s="409"/>
      <c r="U110" s="409"/>
      <c r="V110" s="409"/>
      <c r="W110" s="409"/>
      <c r="X110" s="409"/>
      <c r="Y110" s="409"/>
      <c r="Z110" s="409"/>
    </row>
    <row r="111" spans="1:26" ht="15.75" customHeight="1" x14ac:dyDescent="0.3">
      <c r="A111" s="374" t="s">
        <v>166</v>
      </c>
      <c r="B111" s="419">
        <v>0</v>
      </c>
      <c r="C111" s="419">
        <v>475</v>
      </c>
      <c r="D111" s="421">
        <v>0</v>
      </c>
      <c r="E111" s="419">
        <v>531</v>
      </c>
      <c r="F111" s="421">
        <v>0</v>
      </c>
      <c r="G111" s="421">
        <v>0.89</v>
      </c>
      <c r="H111" s="422">
        <v>704145</v>
      </c>
      <c r="I111" s="422">
        <v>298543</v>
      </c>
      <c r="J111" s="422">
        <v>55208</v>
      </c>
      <c r="K111" s="422">
        <v>89144</v>
      </c>
      <c r="L111" s="423">
        <f t="shared" si="29"/>
        <v>1482.4105263157894</v>
      </c>
      <c r="M111" s="423">
        <f t="shared" si="30"/>
        <v>628.51157894736843</v>
      </c>
      <c r="N111" s="409"/>
      <c r="O111" s="409"/>
      <c r="P111" s="409"/>
      <c r="Q111" s="409"/>
      <c r="R111" s="409"/>
      <c r="S111" s="409"/>
      <c r="T111" s="409"/>
      <c r="U111" s="409"/>
      <c r="V111" s="409"/>
      <c r="W111" s="409"/>
      <c r="X111" s="409"/>
      <c r="Y111" s="409"/>
      <c r="Z111" s="409"/>
    </row>
    <row r="112" spans="1:26" ht="15.75" customHeight="1" x14ac:dyDescent="0.3">
      <c r="A112" s="374" t="s">
        <v>172</v>
      </c>
      <c r="B112" s="419">
        <v>0</v>
      </c>
      <c r="C112" s="420">
        <v>1270</v>
      </c>
      <c r="D112" s="421">
        <v>0</v>
      </c>
      <c r="E112" s="420">
        <v>1346</v>
      </c>
      <c r="F112" s="421">
        <v>0</v>
      </c>
      <c r="G112" s="421">
        <v>0.94</v>
      </c>
      <c r="H112" s="422">
        <v>146004</v>
      </c>
      <c r="I112" s="422">
        <v>171354</v>
      </c>
      <c r="J112" s="422">
        <v>-980</v>
      </c>
      <c r="K112" s="422">
        <v>-6700</v>
      </c>
      <c r="L112" s="423">
        <f t="shared" si="29"/>
        <v>114.96377952755905</v>
      </c>
      <c r="M112" s="423">
        <f t="shared" si="30"/>
        <v>134.92440944881889</v>
      </c>
      <c r="N112" s="409"/>
      <c r="O112" s="409"/>
      <c r="P112" s="409"/>
      <c r="Q112" s="409"/>
      <c r="R112" s="409"/>
      <c r="S112" s="409"/>
      <c r="T112" s="409"/>
      <c r="U112" s="409"/>
      <c r="V112" s="409"/>
      <c r="W112" s="409"/>
      <c r="X112" s="409"/>
      <c r="Y112" s="409"/>
      <c r="Z112" s="409"/>
    </row>
    <row r="113" spans="1:26" ht="15.75" customHeight="1" x14ac:dyDescent="0.3">
      <c r="A113" s="374" t="s">
        <v>173</v>
      </c>
      <c r="B113" s="419">
        <v>0</v>
      </c>
      <c r="C113" s="419">
        <v>58</v>
      </c>
      <c r="D113" s="421">
        <v>0</v>
      </c>
      <c r="E113" s="419">
        <v>188</v>
      </c>
      <c r="F113" s="421">
        <v>0</v>
      </c>
      <c r="G113" s="421">
        <v>0.31</v>
      </c>
      <c r="H113" s="422">
        <v>28870</v>
      </c>
      <c r="I113" s="422">
        <v>20355</v>
      </c>
      <c r="J113" s="422">
        <v>71390</v>
      </c>
      <c r="K113" s="422">
        <v>47645</v>
      </c>
      <c r="L113" s="423">
        <f t="shared" si="29"/>
        <v>497.75862068965517</v>
      </c>
      <c r="M113" s="423">
        <f t="shared" si="30"/>
        <v>350.94827586206895</v>
      </c>
      <c r="N113" s="409"/>
      <c r="O113" s="409"/>
      <c r="P113" s="409"/>
      <c r="Q113" s="409"/>
      <c r="R113" s="409"/>
      <c r="S113" s="409"/>
      <c r="T113" s="409"/>
      <c r="U113" s="409"/>
      <c r="V113" s="409"/>
      <c r="W113" s="409"/>
      <c r="X113" s="409"/>
      <c r="Y113" s="409"/>
      <c r="Z113" s="409"/>
    </row>
    <row r="114" spans="1:26" ht="15.75" customHeight="1" x14ac:dyDescent="0.3">
      <c r="A114" s="374" t="s">
        <v>175</v>
      </c>
      <c r="B114" s="419">
        <v>0</v>
      </c>
      <c r="C114" s="419">
        <v>0</v>
      </c>
      <c r="D114" s="421">
        <v>0</v>
      </c>
      <c r="E114" s="419">
        <v>37</v>
      </c>
      <c r="F114" s="421">
        <v>0</v>
      </c>
      <c r="G114" s="421">
        <v>0</v>
      </c>
      <c r="H114" s="422">
        <v>0</v>
      </c>
      <c r="I114" s="422">
        <v>0</v>
      </c>
      <c r="J114" s="422">
        <v>0</v>
      </c>
      <c r="K114" s="422">
        <v>0</v>
      </c>
      <c r="L114" s="423" t="e">
        <f t="shared" si="29"/>
        <v>#DIV/0!</v>
      </c>
      <c r="M114" s="423" t="e">
        <f t="shared" si="30"/>
        <v>#DIV/0!</v>
      </c>
      <c r="N114" s="409"/>
      <c r="O114" s="409"/>
      <c r="P114" s="409"/>
      <c r="Q114" s="409"/>
      <c r="R114" s="409"/>
      <c r="S114" s="409"/>
      <c r="T114" s="409"/>
      <c r="U114" s="409"/>
      <c r="V114" s="409"/>
      <c r="W114" s="409"/>
      <c r="X114" s="409"/>
      <c r="Y114" s="409"/>
      <c r="Z114" s="409"/>
    </row>
    <row r="115" spans="1:26" ht="15.75" customHeight="1" x14ac:dyDescent="0.3">
      <c r="A115" s="377" t="s">
        <v>443</v>
      </c>
      <c r="B115" s="417">
        <v>0</v>
      </c>
      <c r="C115" s="425">
        <v>3834</v>
      </c>
      <c r="D115" s="426">
        <v>0</v>
      </c>
      <c r="E115" s="425">
        <v>6940</v>
      </c>
      <c r="F115" s="426">
        <v>0</v>
      </c>
      <c r="G115" s="426">
        <v>0.55000000000000004</v>
      </c>
      <c r="H115" s="427">
        <v>1067270</v>
      </c>
      <c r="I115" s="427">
        <v>819052</v>
      </c>
      <c r="J115" s="427">
        <v>469723</v>
      </c>
      <c r="K115" s="427">
        <v>691211</v>
      </c>
      <c r="L115" s="428">
        <f t="shared" si="29"/>
        <v>278.36984872196138</v>
      </c>
      <c r="M115" s="428">
        <f t="shared" si="30"/>
        <v>213.62858633281169</v>
      </c>
      <c r="N115" s="409"/>
      <c r="O115" s="409"/>
      <c r="P115" s="409"/>
      <c r="Q115" s="409"/>
      <c r="R115" s="409"/>
      <c r="S115" s="409"/>
      <c r="T115" s="409"/>
      <c r="U115" s="409"/>
      <c r="V115" s="409"/>
      <c r="W115" s="409"/>
      <c r="X115" s="409"/>
      <c r="Y115" s="409"/>
      <c r="Z115" s="409"/>
    </row>
    <row r="116" spans="1:26" ht="15.75" customHeight="1" x14ac:dyDescent="0.3">
      <c r="A116" s="409"/>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row>
    <row r="117" spans="1:26" ht="15.75" customHeight="1" x14ac:dyDescent="0.3">
      <c r="A117" s="409"/>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row>
    <row r="118" spans="1:26" ht="15.75" customHeight="1" x14ac:dyDescent="0.3">
      <c r="A118" s="409"/>
      <c r="B118" s="409"/>
      <c r="C118" s="409"/>
      <c r="D118" s="409"/>
      <c r="E118" s="409"/>
      <c r="F118" s="409"/>
      <c r="G118" s="409"/>
      <c r="H118" s="409"/>
      <c r="I118" s="409"/>
      <c r="J118" s="409"/>
      <c r="K118" s="409"/>
      <c r="L118" s="409"/>
      <c r="M118" s="409"/>
      <c r="N118" s="409"/>
      <c r="O118" s="409"/>
      <c r="P118" s="409"/>
      <c r="Q118" s="409"/>
      <c r="R118" s="409"/>
      <c r="S118" s="409"/>
      <c r="T118" s="409"/>
      <c r="U118" s="409"/>
      <c r="V118" s="409"/>
      <c r="W118" s="409"/>
      <c r="X118" s="409"/>
      <c r="Y118" s="409"/>
      <c r="Z118" s="409"/>
    </row>
    <row r="119" spans="1:26" ht="15.75" customHeight="1" x14ac:dyDescent="0.3">
      <c r="A119" s="409"/>
      <c r="B119" s="409"/>
      <c r="C119" s="409"/>
      <c r="D119" s="409"/>
      <c r="E119" s="409"/>
      <c r="F119" s="409"/>
      <c r="G119" s="409"/>
      <c r="H119" s="409"/>
      <c r="I119" s="409"/>
      <c r="J119" s="409"/>
      <c r="K119" s="409"/>
      <c r="L119" s="409"/>
      <c r="M119" s="409"/>
      <c r="N119" s="409"/>
      <c r="O119" s="409"/>
      <c r="P119" s="409"/>
      <c r="Q119" s="409"/>
      <c r="R119" s="409"/>
      <c r="S119" s="409"/>
      <c r="T119" s="409"/>
      <c r="U119" s="409"/>
      <c r="V119" s="409"/>
      <c r="W119" s="409"/>
      <c r="X119" s="409"/>
      <c r="Y119" s="409"/>
      <c r="Z119" s="409"/>
    </row>
    <row r="120" spans="1:26" ht="15.75" customHeight="1" x14ac:dyDescent="0.3">
      <c r="A120" s="409"/>
      <c r="B120" s="409"/>
      <c r="C120" s="409"/>
      <c r="D120" s="409"/>
      <c r="E120" s="409"/>
      <c r="F120" s="409"/>
      <c r="G120" s="409"/>
      <c r="H120" s="409"/>
      <c r="I120" s="409"/>
      <c r="J120" s="409"/>
      <c r="K120" s="409"/>
      <c r="L120" s="409"/>
      <c r="M120" s="409"/>
      <c r="N120" s="409"/>
      <c r="O120" s="409"/>
      <c r="P120" s="409"/>
      <c r="Q120" s="409"/>
      <c r="R120" s="409"/>
      <c r="S120" s="409"/>
      <c r="T120" s="409"/>
      <c r="U120" s="409"/>
      <c r="V120" s="409"/>
      <c r="W120" s="409"/>
      <c r="X120" s="409"/>
      <c r="Y120" s="409"/>
      <c r="Z120" s="409"/>
    </row>
    <row r="121" spans="1:26" ht="15.75" customHeight="1" x14ac:dyDescent="0.3">
      <c r="A121" s="409"/>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row>
    <row r="122" spans="1:26" ht="15.75" customHeight="1" x14ac:dyDescent="0.3">
      <c r="A122" s="409"/>
      <c r="B122" s="409"/>
      <c r="C122" s="409"/>
      <c r="D122" s="409"/>
      <c r="E122" s="409"/>
      <c r="F122" s="409"/>
      <c r="G122" s="409"/>
      <c r="H122" s="409"/>
      <c r="I122" s="409"/>
      <c r="J122" s="409"/>
      <c r="K122" s="409"/>
      <c r="L122" s="409"/>
      <c r="M122" s="409"/>
      <c r="N122" s="409"/>
      <c r="O122" s="409"/>
      <c r="P122" s="409"/>
      <c r="Q122" s="409"/>
      <c r="R122" s="409"/>
      <c r="S122" s="409"/>
      <c r="T122" s="409"/>
      <c r="U122" s="409"/>
      <c r="V122" s="409"/>
      <c r="W122" s="409"/>
      <c r="X122" s="409"/>
      <c r="Y122" s="409"/>
      <c r="Z122" s="409"/>
    </row>
    <row r="123" spans="1:26" ht="15.75" customHeight="1" x14ac:dyDescent="0.3">
      <c r="A123" s="409"/>
      <c r="B123" s="409"/>
      <c r="C123" s="409"/>
      <c r="D123" s="409"/>
      <c r="E123" s="409"/>
      <c r="F123" s="409"/>
      <c r="G123" s="409"/>
      <c r="H123" s="409"/>
      <c r="I123" s="409"/>
      <c r="J123" s="409"/>
      <c r="K123" s="409"/>
      <c r="L123" s="409"/>
      <c r="M123" s="409"/>
      <c r="N123" s="409"/>
      <c r="O123" s="409"/>
      <c r="P123" s="409"/>
      <c r="Q123" s="409"/>
      <c r="R123" s="409"/>
      <c r="S123" s="409"/>
      <c r="T123" s="409"/>
      <c r="U123" s="409"/>
      <c r="V123" s="409"/>
      <c r="W123" s="409"/>
      <c r="X123" s="409"/>
      <c r="Y123" s="409"/>
      <c r="Z123" s="409"/>
    </row>
    <row r="124" spans="1:26" ht="15.75" customHeight="1" x14ac:dyDescent="0.3">
      <c r="A124" s="409"/>
      <c r="B124" s="409"/>
      <c r="C124" s="409"/>
      <c r="D124" s="409"/>
      <c r="E124" s="409"/>
      <c r="F124" s="409"/>
      <c r="G124" s="409"/>
      <c r="H124" s="409"/>
      <c r="I124" s="409"/>
      <c r="J124" s="409"/>
      <c r="K124" s="409"/>
      <c r="L124" s="409"/>
      <c r="M124" s="409"/>
      <c r="N124" s="409"/>
      <c r="O124" s="409"/>
      <c r="P124" s="409"/>
      <c r="Q124" s="409"/>
      <c r="R124" s="409"/>
      <c r="S124" s="409"/>
      <c r="T124" s="409"/>
      <c r="U124" s="409"/>
      <c r="V124" s="409"/>
      <c r="W124" s="409"/>
      <c r="X124" s="409"/>
      <c r="Y124" s="409"/>
      <c r="Z124" s="409"/>
    </row>
    <row r="125" spans="1:26" ht="15.75" customHeight="1" x14ac:dyDescent="0.3">
      <c r="A125" s="409"/>
      <c r="B125" s="409"/>
      <c r="C125" s="409"/>
      <c r="D125" s="409"/>
      <c r="E125" s="409"/>
      <c r="F125" s="409"/>
      <c r="G125" s="409"/>
      <c r="H125" s="409"/>
      <c r="I125" s="409"/>
      <c r="J125" s="409"/>
      <c r="K125" s="409"/>
      <c r="L125" s="409"/>
      <c r="M125" s="409"/>
      <c r="N125" s="409"/>
      <c r="O125" s="409"/>
      <c r="P125" s="409"/>
      <c r="Q125" s="409"/>
      <c r="R125" s="409"/>
      <c r="S125" s="409"/>
      <c r="T125" s="409"/>
      <c r="U125" s="409"/>
      <c r="V125" s="409"/>
      <c r="W125" s="409"/>
      <c r="X125" s="409"/>
      <c r="Y125" s="409"/>
      <c r="Z125" s="409"/>
    </row>
    <row r="126" spans="1:26" ht="15.75" customHeight="1" x14ac:dyDescent="0.3">
      <c r="A126" s="409"/>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row>
    <row r="127" spans="1:26" ht="15.75" customHeight="1" x14ac:dyDescent="0.3">
      <c r="A127" s="409"/>
      <c r="B127" s="409"/>
      <c r="C127" s="409"/>
      <c r="D127" s="409"/>
      <c r="E127" s="409"/>
      <c r="F127" s="409"/>
      <c r="G127" s="409"/>
      <c r="H127" s="409"/>
      <c r="I127" s="409"/>
      <c r="J127" s="409"/>
      <c r="K127" s="409"/>
      <c r="L127" s="409"/>
      <c r="M127" s="409"/>
      <c r="N127" s="409"/>
      <c r="O127" s="409"/>
      <c r="P127" s="409"/>
      <c r="Q127" s="409"/>
      <c r="R127" s="409"/>
      <c r="S127" s="409"/>
      <c r="T127" s="409"/>
      <c r="U127" s="409"/>
      <c r="V127" s="409"/>
      <c r="W127" s="409"/>
      <c r="X127" s="409"/>
      <c r="Y127" s="409"/>
      <c r="Z127" s="409"/>
    </row>
    <row r="128" spans="1:26" ht="15.75" customHeight="1" x14ac:dyDescent="0.3">
      <c r="A128" s="409"/>
      <c r="B128" s="409"/>
      <c r="C128" s="409"/>
      <c r="D128" s="409"/>
      <c r="E128" s="409"/>
      <c r="F128" s="409"/>
      <c r="G128" s="409"/>
      <c r="H128" s="409"/>
      <c r="I128" s="409"/>
      <c r="J128" s="409"/>
      <c r="K128" s="409"/>
      <c r="L128" s="409"/>
      <c r="M128" s="409"/>
      <c r="N128" s="409"/>
      <c r="O128" s="409"/>
      <c r="P128" s="409"/>
      <c r="Q128" s="409"/>
      <c r="R128" s="409"/>
      <c r="S128" s="409"/>
      <c r="T128" s="409"/>
      <c r="U128" s="409"/>
      <c r="V128" s="409"/>
      <c r="W128" s="409"/>
      <c r="X128" s="409"/>
      <c r="Y128" s="409"/>
      <c r="Z128" s="409"/>
    </row>
    <row r="129" spans="1:26" ht="15.75" customHeight="1" x14ac:dyDescent="0.3">
      <c r="A129" s="409"/>
      <c r="B129" s="409"/>
      <c r="C129" s="409"/>
      <c r="D129" s="409"/>
      <c r="E129" s="409"/>
      <c r="F129" s="409"/>
      <c r="G129" s="409"/>
      <c r="H129" s="409"/>
      <c r="I129" s="409"/>
      <c r="J129" s="409"/>
      <c r="K129" s="409"/>
      <c r="L129" s="409"/>
      <c r="M129" s="409"/>
      <c r="N129" s="409"/>
      <c r="O129" s="409"/>
      <c r="P129" s="409"/>
      <c r="Q129" s="409"/>
      <c r="R129" s="409"/>
      <c r="S129" s="409"/>
      <c r="T129" s="409"/>
      <c r="U129" s="409"/>
      <c r="V129" s="409"/>
      <c r="W129" s="409"/>
      <c r="X129" s="409"/>
      <c r="Y129" s="409"/>
      <c r="Z129" s="409"/>
    </row>
    <row r="130" spans="1:26" ht="15.75" customHeight="1" x14ac:dyDescent="0.3">
      <c r="A130" s="409"/>
      <c r="B130" s="409"/>
      <c r="C130" s="409"/>
      <c r="D130" s="409"/>
      <c r="E130" s="409"/>
      <c r="F130" s="409"/>
      <c r="G130" s="409"/>
      <c r="H130" s="409"/>
      <c r="I130" s="409"/>
      <c r="J130" s="409"/>
      <c r="K130" s="409"/>
      <c r="L130" s="409"/>
      <c r="M130" s="409"/>
      <c r="N130" s="409"/>
      <c r="O130" s="409"/>
      <c r="P130" s="409"/>
      <c r="Q130" s="409"/>
      <c r="R130" s="409"/>
      <c r="S130" s="409"/>
      <c r="T130" s="409"/>
      <c r="U130" s="409"/>
      <c r="V130" s="409"/>
      <c r="W130" s="409"/>
      <c r="X130" s="409"/>
      <c r="Y130" s="409"/>
      <c r="Z130" s="409"/>
    </row>
    <row r="131" spans="1:26" ht="15.75" customHeight="1" x14ac:dyDescent="0.3">
      <c r="A131" s="409"/>
      <c r="B131" s="409"/>
      <c r="C131" s="409"/>
      <c r="D131" s="409"/>
      <c r="E131" s="409"/>
      <c r="F131" s="409"/>
      <c r="G131" s="409"/>
      <c r="H131" s="409"/>
      <c r="I131" s="409"/>
      <c r="J131" s="409"/>
      <c r="K131" s="409"/>
      <c r="L131" s="409"/>
      <c r="M131" s="409"/>
      <c r="N131" s="409"/>
      <c r="O131" s="409"/>
      <c r="P131" s="409"/>
      <c r="Q131" s="409"/>
      <c r="R131" s="409"/>
      <c r="S131" s="409"/>
      <c r="T131" s="409"/>
      <c r="U131" s="409"/>
      <c r="V131" s="409"/>
      <c r="W131" s="409"/>
      <c r="X131" s="409"/>
      <c r="Y131" s="409"/>
      <c r="Z131" s="409"/>
    </row>
    <row r="132" spans="1:26" ht="15.75" customHeight="1" x14ac:dyDescent="0.3">
      <c r="A132" s="409"/>
      <c r="B132" s="409"/>
      <c r="C132" s="409"/>
      <c r="D132" s="409"/>
      <c r="E132" s="409"/>
      <c r="F132" s="409"/>
      <c r="G132" s="409"/>
      <c r="H132" s="409"/>
      <c r="I132" s="409"/>
      <c r="J132" s="409"/>
      <c r="K132" s="409"/>
      <c r="L132" s="409"/>
      <c r="M132" s="409"/>
      <c r="N132" s="409"/>
      <c r="O132" s="409"/>
      <c r="P132" s="409"/>
      <c r="Q132" s="409"/>
      <c r="R132" s="409"/>
      <c r="S132" s="409"/>
      <c r="T132" s="409"/>
      <c r="U132" s="409"/>
      <c r="V132" s="409"/>
      <c r="W132" s="409"/>
      <c r="X132" s="409"/>
      <c r="Y132" s="409"/>
      <c r="Z132" s="409"/>
    </row>
    <row r="133" spans="1:26" ht="15.75" customHeight="1" x14ac:dyDescent="0.3">
      <c r="A133" s="409"/>
      <c r="B133" s="409"/>
      <c r="C133" s="409"/>
      <c r="D133" s="409"/>
      <c r="E133" s="409"/>
      <c r="F133" s="409"/>
      <c r="G133" s="409"/>
      <c r="H133" s="409"/>
      <c r="I133" s="409"/>
      <c r="J133" s="409"/>
      <c r="K133" s="409"/>
      <c r="L133" s="409"/>
      <c r="M133" s="409"/>
      <c r="N133" s="409"/>
      <c r="O133" s="409"/>
      <c r="P133" s="409"/>
      <c r="Q133" s="409"/>
      <c r="R133" s="409"/>
      <c r="S133" s="409"/>
      <c r="T133" s="409"/>
      <c r="U133" s="409"/>
      <c r="V133" s="409"/>
      <c r="W133" s="409"/>
      <c r="X133" s="409"/>
      <c r="Y133" s="409"/>
      <c r="Z133" s="409"/>
    </row>
    <row r="134" spans="1:26" ht="15.75" customHeight="1" x14ac:dyDescent="0.3">
      <c r="A134" s="409"/>
      <c r="B134" s="409"/>
      <c r="C134" s="409"/>
      <c r="D134" s="409"/>
      <c r="E134" s="409"/>
      <c r="F134" s="409"/>
      <c r="G134" s="409"/>
      <c r="H134" s="409"/>
      <c r="I134" s="409"/>
      <c r="J134" s="409"/>
      <c r="K134" s="409"/>
      <c r="L134" s="409"/>
      <c r="M134" s="409"/>
      <c r="N134" s="409"/>
      <c r="O134" s="409"/>
      <c r="P134" s="409"/>
      <c r="Q134" s="409"/>
      <c r="R134" s="409"/>
      <c r="S134" s="409"/>
      <c r="T134" s="409"/>
      <c r="U134" s="409"/>
      <c r="V134" s="409"/>
      <c r="W134" s="409"/>
      <c r="X134" s="409"/>
      <c r="Y134" s="409"/>
      <c r="Z134" s="409"/>
    </row>
    <row r="135" spans="1:26" ht="15.75" customHeight="1" x14ac:dyDescent="0.3">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row>
    <row r="136" spans="1:26" ht="15.75" customHeight="1" x14ac:dyDescent="0.3">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row>
    <row r="137" spans="1:26" ht="15.75" customHeight="1" x14ac:dyDescent="0.3">
      <c r="A137" s="409"/>
      <c r="B137" s="409"/>
      <c r="C137" s="409"/>
      <c r="D137" s="409"/>
      <c r="E137" s="409"/>
      <c r="F137" s="409"/>
      <c r="G137" s="409"/>
      <c r="H137" s="409"/>
      <c r="I137" s="409"/>
      <c r="J137" s="409"/>
      <c r="K137" s="409"/>
      <c r="L137" s="409"/>
      <c r="M137" s="409"/>
      <c r="N137" s="409"/>
      <c r="O137" s="409"/>
      <c r="P137" s="409"/>
      <c r="Q137" s="409"/>
      <c r="R137" s="409"/>
      <c r="S137" s="409"/>
      <c r="T137" s="409"/>
      <c r="U137" s="409"/>
      <c r="V137" s="409"/>
      <c r="W137" s="409"/>
      <c r="X137" s="409"/>
      <c r="Y137" s="409"/>
      <c r="Z137" s="409"/>
    </row>
    <row r="138" spans="1:26" ht="15.75" customHeight="1" x14ac:dyDescent="0.3">
      <c r="A138" s="409"/>
      <c r="B138" s="409"/>
      <c r="C138" s="409"/>
      <c r="D138" s="409"/>
      <c r="E138" s="409"/>
      <c r="F138" s="409"/>
      <c r="G138" s="409"/>
      <c r="H138" s="409"/>
      <c r="I138" s="409"/>
      <c r="J138" s="409"/>
      <c r="K138" s="409"/>
      <c r="L138" s="409"/>
      <c r="M138" s="409"/>
      <c r="N138" s="409"/>
      <c r="O138" s="409"/>
      <c r="P138" s="409"/>
      <c r="Q138" s="409"/>
      <c r="R138" s="409"/>
      <c r="S138" s="409"/>
      <c r="T138" s="409"/>
      <c r="U138" s="409"/>
      <c r="V138" s="409"/>
      <c r="W138" s="409"/>
      <c r="X138" s="409"/>
      <c r="Y138" s="409"/>
      <c r="Z138" s="409"/>
    </row>
    <row r="139" spans="1:26" ht="15.75" customHeight="1" x14ac:dyDescent="0.3">
      <c r="A139" s="409"/>
      <c r="B139" s="409"/>
      <c r="C139" s="409"/>
      <c r="D139" s="409"/>
      <c r="E139" s="409"/>
      <c r="F139" s="409"/>
      <c r="G139" s="409"/>
      <c r="H139" s="409"/>
      <c r="I139" s="409"/>
      <c r="J139" s="409"/>
      <c r="K139" s="409"/>
      <c r="L139" s="409"/>
      <c r="M139" s="409"/>
      <c r="N139" s="409"/>
      <c r="O139" s="409"/>
      <c r="P139" s="409"/>
      <c r="Q139" s="409"/>
      <c r="R139" s="409"/>
      <c r="S139" s="409"/>
      <c r="T139" s="409"/>
      <c r="U139" s="409"/>
      <c r="V139" s="409"/>
      <c r="W139" s="409"/>
      <c r="X139" s="409"/>
      <c r="Y139" s="409"/>
      <c r="Z139" s="409"/>
    </row>
    <row r="140" spans="1:26" ht="15.75" customHeight="1" x14ac:dyDescent="0.3">
      <c r="A140" s="409"/>
      <c r="B140" s="409"/>
      <c r="C140" s="409"/>
      <c r="D140" s="409"/>
      <c r="E140" s="409"/>
      <c r="F140" s="409"/>
      <c r="G140" s="409"/>
      <c r="H140" s="409"/>
      <c r="I140" s="409"/>
      <c r="J140" s="409"/>
      <c r="K140" s="409"/>
      <c r="L140" s="409"/>
      <c r="M140" s="409"/>
      <c r="N140" s="409"/>
      <c r="O140" s="409"/>
      <c r="P140" s="409"/>
      <c r="Q140" s="409"/>
      <c r="R140" s="409"/>
      <c r="S140" s="409"/>
      <c r="T140" s="409"/>
      <c r="U140" s="409"/>
      <c r="V140" s="409"/>
      <c r="W140" s="409"/>
      <c r="X140" s="409"/>
      <c r="Y140" s="409"/>
      <c r="Z140" s="409"/>
    </row>
    <row r="141" spans="1:26" ht="15.75" customHeight="1" x14ac:dyDescent="0.3">
      <c r="A141" s="409"/>
      <c r="B141" s="409"/>
      <c r="C141" s="409"/>
      <c r="D141" s="409"/>
      <c r="E141" s="409"/>
      <c r="F141" s="409"/>
      <c r="G141" s="409"/>
      <c r="H141" s="409"/>
      <c r="I141" s="409"/>
      <c r="J141" s="409"/>
      <c r="K141" s="409"/>
      <c r="L141" s="409"/>
      <c r="M141" s="409"/>
      <c r="N141" s="409"/>
      <c r="O141" s="409"/>
      <c r="P141" s="409"/>
      <c r="Q141" s="409"/>
      <c r="R141" s="409"/>
      <c r="S141" s="409"/>
      <c r="T141" s="409"/>
      <c r="U141" s="409"/>
      <c r="V141" s="409"/>
      <c r="W141" s="409"/>
      <c r="X141" s="409"/>
      <c r="Y141" s="409"/>
      <c r="Z141" s="409"/>
    </row>
    <row r="142" spans="1:26" ht="15.75" customHeight="1" x14ac:dyDescent="0.3">
      <c r="A142" s="409"/>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row>
    <row r="143" spans="1:26" ht="15.75" customHeight="1" x14ac:dyDescent="0.3">
      <c r="A143" s="409"/>
      <c r="B143" s="409"/>
      <c r="C143" s="409"/>
      <c r="D143" s="409"/>
      <c r="E143" s="409"/>
      <c r="F143" s="409"/>
      <c r="G143" s="409"/>
      <c r="H143" s="409"/>
      <c r="I143" s="409"/>
      <c r="J143" s="409"/>
      <c r="K143" s="409"/>
      <c r="L143" s="409"/>
      <c r="M143" s="409"/>
      <c r="N143" s="409"/>
      <c r="O143" s="409"/>
      <c r="P143" s="409"/>
      <c r="Q143" s="409"/>
      <c r="R143" s="409"/>
      <c r="S143" s="409"/>
      <c r="T143" s="409"/>
      <c r="U143" s="409"/>
      <c r="V143" s="409"/>
      <c r="W143" s="409"/>
      <c r="X143" s="409"/>
      <c r="Y143" s="409"/>
      <c r="Z143" s="409"/>
    </row>
    <row r="144" spans="1:26" ht="15.75" customHeight="1" x14ac:dyDescent="0.3">
      <c r="A144" s="409"/>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row>
    <row r="145" spans="1:26" ht="15.75" customHeight="1" x14ac:dyDescent="0.3">
      <c r="A145" s="409"/>
      <c r="B145" s="409"/>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row>
    <row r="146" spans="1:26" ht="15.75" customHeight="1" x14ac:dyDescent="0.3">
      <c r="A146" s="409"/>
      <c r="B146" s="409"/>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row>
    <row r="147" spans="1:26" ht="15.75" customHeight="1" x14ac:dyDescent="0.3">
      <c r="A147" s="409"/>
      <c r="B147" s="409"/>
      <c r="C147" s="409"/>
      <c r="D147" s="409"/>
      <c r="E147" s="409"/>
      <c r="F147" s="409"/>
      <c r="G147" s="409"/>
      <c r="H147" s="409"/>
      <c r="I147" s="409"/>
      <c r="J147" s="409"/>
      <c r="K147" s="409"/>
      <c r="L147" s="409"/>
      <c r="M147" s="409"/>
      <c r="N147" s="409"/>
      <c r="O147" s="409"/>
      <c r="P147" s="409"/>
      <c r="Q147" s="409"/>
      <c r="R147" s="409"/>
      <c r="S147" s="409"/>
      <c r="T147" s="409"/>
      <c r="U147" s="409"/>
      <c r="V147" s="409"/>
      <c r="W147" s="409"/>
      <c r="X147" s="409"/>
      <c r="Y147" s="409"/>
      <c r="Z147" s="409"/>
    </row>
    <row r="148" spans="1:26" ht="15.75" customHeight="1" x14ac:dyDescent="0.3">
      <c r="A148" s="409"/>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row>
    <row r="149" spans="1:26" ht="15.75" customHeight="1" x14ac:dyDescent="0.3">
      <c r="A149" s="409"/>
      <c r="B149" s="409"/>
      <c r="C149" s="409"/>
      <c r="D149" s="409"/>
      <c r="E149" s="409"/>
      <c r="F149" s="409"/>
      <c r="G149" s="409"/>
      <c r="H149" s="409"/>
      <c r="I149" s="409"/>
      <c r="J149" s="409"/>
      <c r="K149" s="409"/>
      <c r="L149" s="409"/>
      <c r="M149" s="409"/>
      <c r="N149" s="409"/>
      <c r="O149" s="409"/>
      <c r="P149" s="409"/>
      <c r="Q149" s="409"/>
      <c r="R149" s="409"/>
      <c r="S149" s="409"/>
      <c r="T149" s="409"/>
      <c r="U149" s="409"/>
      <c r="V149" s="409"/>
      <c r="W149" s="409"/>
      <c r="X149" s="409"/>
      <c r="Y149" s="409"/>
      <c r="Z149" s="409"/>
    </row>
    <row r="150" spans="1:26" ht="15.75" customHeight="1" x14ac:dyDescent="0.3">
      <c r="A150" s="409"/>
      <c r="B150" s="409"/>
      <c r="C150" s="409"/>
      <c r="D150" s="409"/>
      <c r="E150" s="409"/>
      <c r="F150" s="409"/>
      <c r="G150" s="409"/>
      <c r="H150" s="409"/>
      <c r="I150" s="409"/>
      <c r="J150" s="409"/>
      <c r="K150" s="409"/>
      <c r="L150" s="409"/>
      <c r="M150" s="409"/>
      <c r="N150" s="409"/>
      <c r="O150" s="409"/>
      <c r="P150" s="409"/>
      <c r="Q150" s="409"/>
      <c r="R150" s="409"/>
      <c r="S150" s="409"/>
      <c r="T150" s="409"/>
      <c r="U150" s="409"/>
      <c r="V150" s="409"/>
      <c r="W150" s="409"/>
      <c r="X150" s="409"/>
      <c r="Y150" s="409"/>
      <c r="Z150" s="409"/>
    </row>
    <row r="151" spans="1:26" ht="15.75" customHeight="1" x14ac:dyDescent="0.3">
      <c r="A151" s="409"/>
      <c r="B151" s="409"/>
      <c r="C151" s="409"/>
      <c r="D151" s="409"/>
      <c r="E151" s="409"/>
      <c r="F151" s="409"/>
      <c r="G151" s="409"/>
      <c r="H151" s="409"/>
      <c r="I151" s="409"/>
      <c r="J151" s="409"/>
      <c r="K151" s="409"/>
      <c r="L151" s="409"/>
      <c r="M151" s="409"/>
      <c r="N151" s="409"/>
      <c r="O151" s="409"/>
      <c r="P151" s="409"/>
      <c r="Q151" s="409"/>
      <c r="R151" s="409"/>
      <c r="S151" s="409"/>
      <c r="T151" s="409"/>
      <c r="U151" s="409"/>
      <c r="V151" s="409"/>
      <c r="W151" s="409"/>
      <c r="X151" s="409"/>
      <c r="Y151" s="409"/>
      <c r="Z151" s="409"/>
    </row>
    <row r="152" spans="1:26" ht="15.75" customHeight="1" x14ac:dyDescent="0.3">
      <c r="A152" s="409"/>
      <c r="B152" s="409"/>
      <c r="C152" s="409"/>
      <c r="D152" s="409"/>
      <c r="E152" s="409"/>
      <c r="F152" s="409"/>
      <c r="G152" s="409"/>
      <c r="H152" s="409"/>
      <c r="I152" s="409"/>
      <c r="J152" s="409"/>
      <c r="K152" s="409"/>
      <c r="L152" s="409"/>
      <c r="M152" s="409"/>
      <c r="N152" s="409"/>
      <c r="O152" s="409"/>
      <c r="P152" s="409"/>
      <c r="Q152" s="409"/>
      <c r="R152" s="409"/>
      <c r="S152" s="409"/>
      <c r="T152" s="409"/>
      <c r="U152" s="409"/>
      <c r="V152" s="409"/>
      <c r="W152" s="409"/>
      <c r="X152" s="409"/>
      <c r="Y152" s="409"/>
      <c r="Z152" s="409"/>
    </row>
    <row r="153" spans="1:26" ht="15.75" customHeight="1" x14ac:dyDescent="0.3">
      <c r="A153" s="409"/>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row>
    <row r="154" spans="1:26" ht="15.75" customHeight="1" x14ac:dyDescent="0.3">
      <c r="A154" s="409"/>
      <c r="B154" s="409"/>
      <c r="C154" s="409"/>
      <c r="D154" s="409"/>
      <c r="E154" s="409"/>
      <c r="F154" s="409"/>
      <c r="G154" s="409"/>
      <c r="H154" s="409"/>
      <c r="I154" s="409"/>
      <c r="J154" s="409"/>
      <c r="K154" s="409"/>
      <c r="L154" s="409"/>
      <c r="M154" s="409"/>
      <c r="N154" s="409"/>
      <c r="O154" s="409"/>
      <c r="P154" s="409"/>
      <c r="Q154" s="409"/>
      <c r="R154" s="409"/>
      <c r="S154" s="409"/>
      <c r="T154" s="409"/>
      <c r="U154" s="409"/>
      <c r="V154" s="409"/>
      <c r="W154" s="409"/>
      <c r="X154" s="409"/>
      <c r="Y154" s="409"/>
      <c r="Z154" s="409"/>
    </row>
    <row r="155" spans="1:26" ht="15.75" customHeight="1" x14ac:dyDescent="0.3">
      <c r="A155" s="409"/>
      <c r="B155" s="409"/>
      <c r="C155" s="409"/>
      <c r="D155" s="409"/>
      <c r="E155" s="409"/>
      <c r="F155" s="409"/>
      <c r="G155" s="409"/>
      <c r="H155" s="409"/>
      <c r="I155" s="409"/>
      <c r="J155" s="409"/>
      <c r="K155" s="409"/>
      <c r="L155" s="409"/>
      <c r="M155" s="409"/>
      <c r="N155" s="409"/>
      <c r="O155" s="409"/>
      <c r="P155" s="409"/>
      <c r="Q155" s="409"/>
      <c r="R155" s="409"/>
      <c r="S155" s="409"/>
      <c r="T155" s="409"/>
      <c r="U155" s="409"/>
      <c r="V155" s="409"/>
      <c r="W155" s="409"/>
      <c r="X155" s="409"/>
      <c r="Y155" s="409"/>
      <c r="Z155" s="409"/>
    </row>
    <row r="156" spans="1:26" ht="15.75" customHeight="1" x14ac:dyDescent="0.3">
      <c r="A156" s="409"/>
      <c r="B156" s="409"/>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row>
    <row r="157" spans="1:26" ht="15.75" customHeight="1" x14ac:dyDescent="0.3">
      <c r="A157" s="409"/>
      <c r="B157" s="409"/>
      <c r="C157" s="409"/>
      <c r="D157" s="409"/>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row>
    <row r="158" spans="1:26" ht="15.75" customHeight="1" x14ac:dyDescent="0.3">
      <c r="A158" s="409"/>
      <c r="B158" s="409"/>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row>
    <row r="159" spans="1:26" ht="15.75" customHeight="1" x14ac:dyDescent="0.3">
      <c r="A159" s="409"/>
      <c r="B159" s="409"/>
      <c r="C159" s="409"/>
      <c r="D159" s="409"/>
      <c r="E159" s="409"/>
      <c r="F159" s="409"/>
      <c r="G159" s="409"/>
      <c r="H159" s="409"/>
      <c r="I159" s="409"/>
      <c r="J159" s="409"/>
      <c r="K159" s="409"/>
      <c r="L159" s="409"/>
      <c r="M159" s="409"/>
      <c r="N159" s="409"/>
      <c r="O159" s="409"/>
      <c r="P159" s="409"/>
      <c r="Q159" s="409"/>
      <c r="R159" s="409"/>
      <c r="S159" s="409"/>
      <c r="T159" s="409"/>
      <c r="U159" s="409"/>
      <c r="V159" s="409"/>
      <c r="W159" s="409"/>
      <c r="X159" s="409"/>
      <c r="Y159" s="409"/>
      <c r="Z159" s="409"/>
    </row>
    <row r="160" spans="1:26" ht="15.75" customHeight="1" x14ac:dyDescent="0.3">
      <c r="A160" s="409"/>
      <c r="B160" s="409"/>
      <c r="C160" s="409"/>
      <c r="D160" s="409"/>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row>
    <row r="161" spans="1:26" ht="15.75" customHeight="1" x14ac:dyDescent="0.3">
      <c r="A161" s="409"/>
      <c r="B161" s="409"/>
      <c r="C161" s="409"/>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row>
    <row r="162" spans="1:26" ht="15.75" customHeight="1" x14ac:dyDescent="0.3">
      <c r="A162" s="409"/>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row>
    <row r="163" spans="1:26" ht="15.75" customHeight="1" x14ac:dyDescent="0.3">
      <c r="A163" s="409"/>
      <c r="B163" s="409"/>
      <c r="C163" s="409"/>
      <c r="D163" s="409"/>
      <c r="E163" s="409"/>
      <c r="F163" s="409"/>
      <c r="G163" s="409"/>
      <c r="H163" s="409"/>
      <c r="I163" s="409"/>
      <c r="J163" s="409"/>
      <c r="K163" s="409"/>
      <c r="L163" s="409"/>
      <c r="M163" s="409"/>
      <c r="N163" s="409"/>
      <c r="O163" s="409"/>
      <c r="P163" s="409"/>
      <c r="Q163" s="409"/>
      <c r="R163" s="409"/>
      <c r="S163" s="409"/>
      <c r="T163" s="409"/>
      <c r="U163" s="409"/>
      <c r="V163" s="409"/>
      <c r="W163" s="409"/>
      <c r="X163" s="409"/>
      <c r="Y163" s="409"/>
      <c r="Z163" s="409"/>
    </row>
    <row r="164" spans="1:26" ht="15.75" customHeight="1" x14ac:dyDescent="0.3">
      <c r="A164" s="409"/>
      <c r="B164" s="409"/>
      <c r="C164" s="409"/>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row>
    <row r="165" spans="1:26" ht="15.75" customHeight="1" x14ac:dyDescent="0.3">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row>
    <row r="166" spans="1:26" ht="15.75" customHeight="1" x14ac:dyDescent="0.3">
      <c r="A166" s="409"/>
      <c r="B166" s="409"/>
      <c r="C166" s="409"/>
      <c r="D166" s="409"/>
      <c r="E166" s="409"/>
      <c r="F166" s="409"/>
      <c r="G166" s="409"/>
      <c r="H166" s="409"/>
      <c r="I166" s="409"/>
      <c r="J166" s="409"/>
      <c r="K166" s="409"/>
      <c r="L166" s="409"/>
      <c r="M166" s="409"/>
      <c r="N166" s="409"/>
      <c r="O166" s="409"/>
      <c r="P166" s="409"/>
      <c r="Q166" s="409"/>
      <c r="R166" s="409"/>
      <c r="S166" s="409"/>
      <c r="T166" s="409"/>
      <c r="U166" s="409"/>
      <c r="V166" s="409"/>
      <c r="W166" s="409"/>
      <c r="X166" s="409"/>
      <c r="Y166" s="409"/>
      <c r="Z166" s="409"/>
    </row>
    <row r="167" spans="1:26" ht="15.75" customHeight="1" x14ac:dyDescent="0.3">
      <c r="A167" s="409"/>
      <c r="B167" s="409"/>
      <c r="C167" s="409"/>
      <c r="D167" s="409"/>
      <c r="E167" s="409"/>
      <c r="F167" s="409"/>
      <c r="G167" s="409"/>
      <c r="H167" s="409"/>
      <c r="I167" s="409"/>
      <c r="J167" s="409"/>
      <c r="K167" s="409"/>
      <c r="L167" s="409"/>
      <c r="M167" s="409"/>
      <c r="N167" s="409"/>
      <c r="O167" s="409"/>
      <c r="P167" s="409"/>
      <c r="Q167" s="409"/>
      <c r="R167" s="409"/>
      <c r="S167" s="409"/>
      <c r="T167" s="409"/>
      <c r="U167" s="409"/>
      <c r="V167" s="409"/>
      <c r="W167" s="409"/>
      <c r="X167" s="409"/>
      <c r="Y167" s="409"/>
      <c r="Z167" s="409"/>
    </row>
    <row r="168" spans="1:26" ht="15.75" customHeight="1" x14ac:dyDescent="0.3">
      <c r="A168" s="409"/>
      <c r="B168" s="409"/>
      <c r="C168" s="409"/>
      <c r="D168" s="409"/>
      <c r="E168" s="409"/>
      <c r="F168" s="409"/>
      <c r="G168" s="409"/>
      <c r="H168" s="409"/>
      <c r="I168" s="409"/>
      <c r="J168" s="409"/>
      <c r="K168" s="409"/>
      <c r="L168" s="409"/>
      <c r="M168" s="409"/>
      <c r="N168" s="409"/>
      <c r="O168" s="409"/>
      <c r="P168" s="409"/>
      <c r="Q168" s="409"/>
      <c r="R168" s="409"/>
      <c r="S168" s="409"/>
      <c r="T168" s="409"/>
      <c r="U168" s="409"/>
      <c r="V168" s="409"/>
      <c r="W168" s="409"/>
      <c r="X168" s="409"/>
      <c r="Y168" s="409"/>
      <c r="Z168" s="409"/>
    </row>
    <row r="169" spans="1:26" ht="15.75" customHeight="1" x14ac:dyDescent="0.3">
      <c r="A169" s="409"/>
      <c r="B169" s="409"/>
      <c r="C169" s="409"/>
      <c r="D169" s="409"/>
      <c r="E169" s="409"/>
      <c r="F169" s="409"/>
      <c r="G169" s="409"/>
      <c r="H169" s="409"/>
      <c r="I169" s="409"/>
      <c r="J169" s="409"/>
      <c r="K169" s="409"/>
      <c r="L169" s="409"/>
      <c r="M169" s="409"/>
      <c r="N169" s="409"/>
      <c r="O169" s="409"/>
      <c r="P169" s="409"/>
      <c r="Q169" s="409"/>
      <c r="R169" s="409"/>
      <c r="S169" s="409"/>
      <c r="T169" s="409"/>
      <c r="U169" s="409"/>
      <c r="V169" s="409"/>
      <c r="W169" s="409"/>
      <c r="X169" s="409"/>
      <c r="Y169" s="409"/>
      <c r="Z169" s="409"/>
    </row>
    <row r="170" spans="1:26" ht="15.75" customHeight="1" x14ac:dyDescent="0.3">
      <c r="A170" s="409"/>
      <c r="B170" s="409"/>
      <c r="C170" s="409"/>
      <c r="D170" s="409"/>
      <c r="E170" s="409"/>
      <c r="F170" s="409"/>
      <c r="G170" s="409"/>
      <c r="H170" s="409"/>
      <c r="I170" s="409"/>
      <c r="J170" s="409"/>
      <c r="K170" s="409"/>
      <c r="L170" s="409"/>
      <c r="M170" s="409"/>
      <c r="N170" s="409"/>
      <c r="O170" s="409"/>
      <c r="P170" s="409"/>
      <c r="Q170" s="409"/>
      <c r="R170" s="409"/>
      <c r="S170" s="409"/>
      <c r="T170" s="409"/>
      <c r="U170" s="409"/>
      <c r="V170" s="409"/>
      <c r="W170" s="409"/>
      <c r="X170" s="409"/>
      <c r="Y170" s="409"/>
      <c r="Z170" s="409"/>
    </row>
    <row r="171" spans="1:26" ht="15.75" customHeight="1" x14ac:dyDescent="0.3">
      <c r="A171" s="409"/>
      <c r="B171" s="409"/>
      <c r="C171" s="409"/>
      <c r="D171" s="409"/>
      <c r="E171" s="409"/>
      <c r="F171" s="409"/>
      <c r="G171" s="409"/>
      <c r="H171" s="409"/>
      <c r="I171" s="409"/>
      <c r="J171" s="409"/>
      <c r="K171" s="409"/>
      <c r="L171" s="409"/>
      <c r="M171" s="409"/>
      <c r="N171" s="409"/>
      <c r="O171" s="409"/>
      <c r="P171" s="409"/>
      <c r="Q171" s="409"/>
      <c r="R171" s="409"/>
      <c r="S171" s="409"/>
      <c r="T171" s="409"/>
      <c r="U171" s="409"/>
      <c r="V171" s="409"/>
      <c r="W171" s="409"/>
      <c r="X171" s="409"/>
      <c r="Y171" s="409"/>
      <c r="Z171" s="409"/>
    </row>
    <row r="172" spans="1:26" ht="15.75" customHeight="1" x14ac:dyDescent="0.3">
      <c r="A172" s="409"/>
      <c r="B172" s="409"/>
      <c r="C172" s="409"/>
      <c r="D172" s="409"/>
      <c r="E172" s="409"/>
      <c r="F172" s="409"/>
      <c r="G172" s="409"/>
      <c r="H172" s="409"/>
      <c r="I172" s="409"/>
      <c r="J172" s="409"/>
      <c r="K172" s="409"/>
      <c r="L172" s="409"/>
      <c r="M172" s="409"/>
      <c r="N172" s="409"/>
      <c r="O172" s="409"/>
      <c r="P172" s="409"/>
      <c r="Q172" s="409"/>
      <c r="R172" s="409"/>
      <c r="S172" s="409"/>
      <c r="T172" s="409"/>
      <c r="U172" s="409"/>
      <c r="V172" s="409"/>
      <c r="W172" s="409"/>
      <c r="X172" s="409"/>
      <c r="Y172" s="409"/>
      <c r="Z172" s="409"/>
    </row>
    <row r="173" spans="1:26" ht="15.75" customHeight="1" x14ac:dyDescent="0.3">
      <c r="A173" s="409"/>
      <c r="B173" s="409"/>
      <c r="C173" s="409"/>
      <c r="D173" s="409"/>
      <c r="E173" s="409"/>
      <c r="F173" s="409"/>
      <c r="G173" s="409"/>
      <c r="H173" s="409"/>
      <c r="I173" s="409"/>
      <c r="J173" s="409"/>
      <c r="K173" s="409"/>
      <c r="L173" s="409"/>
      <c r="M173" s="409"/>
      <c r="N173" s="409"/>
      <c r="O173" s="409"/>
      <c r="P173" s="409"/>
      <c r="Q173" s="409"/>
      <c r="R173" s="409"/>
      <c r="S173" s="409"/>
      <c r="T173" s="409"/>
      <c r="U173" s="409"/>
      <c r="V173" s="409"/>
      <c r="W173" s="409"/>
      <c r="X173" s="409"/>
      <c r="Y173" s="409"/>
      <c r="Z173" s="409"/>
    </row>
    <row r="174" spans="1:26" ht="15.75" customHeight="1" x14ac:dyDescent="0.3">
      <c r="A174" s="409"/>
      <c r="B174" s="409"/>
      <c r="C174" s="409"/>
      <c r="D174" s="409"/>
      <c r="E174" s="409"/>
      <c r="F174" s="409"/>
      <c r="G174" s="409"/>
      <c r="H174" s="409"/>
      <c r="I174" s="409"/>
      <c r="J174" s="409"/>
      <c r="K174" s="409"/>
      <c r="L174" s="409"/>
      <c r="M174" s="409"/>
      <c r="N174" s="409"/>
      <c r="O174" s="409"/>
      <c r="P174" s="409"/>
      <c r="Q174" s="409"/>
      <c r="R174" s="409"/>
      <c r="S174" s="409"/>
      <c r="T174" s="409"/>
      <c r="U174" s="409"/>
      <c r="V174" s="409"/>
      <c r="W174" s="409"/>
      <c r="X174" s="409"/>
      <c r="Y174" s="409"/>
      <c r="Z174" s="409"/>
    </row>
    <row r="175" spans="1:26" ht="15.75" customHeight="1" x14ac:dyDescent="0.3">
      <c r="A175" s="409"/>
      <c r="B175" s="409"/>
      <c r="C175" s="409"/>
      <c r="D175" s="409"/>
      <c r="E175" s="409"/>
      <c r="F175" s="409"/>
      <c r="G175" s="409"/>
      <c r="H175" s="409"/>
      <c r="I175" s="409"/>
      <c r="J175" s="409"/>
      <c r="K175" s="409"/>
      <c r="L175" s="409"/>
      <c r="M175" s="409"/>
      <c r="N175" s="409"/>
      <c r="O175" s="409"/>
      <c r="P175" s="409"/>
      <c r="Q175" s="409"/>
      <c r="R175" s="409"/>
      <c r="S175" s="409"/>
      <c r="T175" s="409"/>
      <c r="U175" s="409"/>
      <c r="V175" s="409"/>
      <c r="W175" s="409"/>
      <c r="X175" s="409"/>
      <c r="Y175" s="409"/>
      <c r="Z175" s="409"/>
    </row>
    <row r="176" spans="1:26" ht="15.75" customHeight="1" x14ac:dyDescent="0.3">
      <c r="A176" s="409"/>
      <c r="B176" s="409"/>
      <c r="C176" s="409"/>
      <c r="D176" s="409"/>
      <c r="E176" s="409"/>
      <c r="F176" s="409"/>
      <c r="G176" s="409"/>
      <c r="H176" s="409"/>
      <c r="I176" s="409"/>
      <c r="J176" s="409"/>
      <c r="K176" s="409"/>
      <c r="L176" s="409"/>
      <c r="M176" s="409"/>
      <c r="N176" s="409"/>
      <c r="O176" s="409"/>
      <c r="P176" s="409"/>
      <c r="Q176" s="409"/>
      <c r="R176" s="409"/>
      <c r="S176" s="409"/>
      <c r="T176" s="409"/>
      <c r="U176" s="409"/>
      <c r="V176" s="409"/>
      <c r="W176" s="409"/>
      <c r="X176" s="409"/>
      <c r="Y176" s="409"/>
      <c r="Z176" s="409"/>
    </row>
    <row r="177" spans="1:26" ht="15.75" customHeight="1" x14ac:dyDescent="0.3">
      <c r="A177" s="409"/>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row>
    <row r="178" spans="1:26" ht="15.75" customHeight="1" x14ac:dyDescent="0.3">
      <c r="A178" s="409"/>
      <c r="B178" s="409"/>
      <c r="C178" s="409"/>
      <c r="D178" s="409"/>
      <c r="E178" s="409"/>
      <c r="F178" s="409"/>
      <c r="G178" s="409"/>
      <c r="H178" s="409"/>
      <c r="I178" s="409"/>
      <c r="J178" s="409"/>
      <c r="K178" s="409"/>
      <c r="L178" s="409"/>
      <c r="M178" s="409"/>
      <c r="N178" s="409"/>
      <c r="O178" s="409"/>
      <c r="P178" s="409"/>
      <c r="Q178" s="409"/>
      <c r="R178" s="409"/>
      <c r="S178" s="409"/>
      <c r="T178" s="409"/>
      <c r="U178" s="409"/>
      <c r="V178" s="409"/>
      <c r="W178" s="409"/>
      <c r="X178" s="409"/>
      <c r="Y178" s="409"/>
      <c r="Z178" s="409"/>
    </row>
    <row r="179" spans="1:26" ht="15.75" customHeight="1" x14ac:dyDescent="0.3">
      <c r="A179" s="409"/>
      <c r="B179" s="409"/>
      <c r="C179" s="409"/>
      <c r="D179" s="409"/>
      <c r="E179" s="409"/>
      <c r="F179" s="409"/>
      <c r="G179" s="409"/>
      <c r="H179" s="409"/>
      <c r="I179" s="409"/>
      <c r="J179" s="409"/>
      <c r="K179" s="409"/>
      <c r="L179" s="409"/>
      <c r="M179" s="409"/>
      <c r="N179" s="409"/>
      <c r="O179" s="409"/>
      <c r="P179" s="409"/>
      <c r="Q179" s="409"/>
      <c r="R179" s="409"/>
      <c r="S179" s="409"/>
      <c r="T179" s="409"/>
      <c r="U179" s="409"/>
      <c r="V179" s="409"/>
      <c r="W179" s="409"/>
      <c r="X179" s="409"/>
      <c r="Y179" s="409"/>
      <c r="Z179" s="409"/>
    </row>
    <row r="180" spans="1:26" ht="15.75" customHeight="1" x14ac:dyDescent="0.3">
      <c r="A180" s="409"/>
      <c r="B180" s="409"/>
      <c r="C180" s="409"/>
      <c r="D180" s="409"/>
      <c r="E180" s="409"/>
      <c r="F180" s="409"/>
      <c r="G180" s="409"/>
      <c r="H180" s="409"/>
      <c r="I180" s="409"/>
      <c r="J180" s="409"/>
      <c r="K180" s="409"/>
      <c r="L180" s="409"/>
      <c r="M180" s="409"/>
      <c r="N180" s="409"/>
      <c r="O180" s="409"/>
      <c r="P180" s="409"/>
      <c r="Q180" s="409"/>
      <c r="R180" s="409"/>
      <c r="S180" s="409"/>
      <c r="T180" s="409"/>
      <c r="U180" s="409"/>
      <c r="V180" s="409"/>
      <c r="W180" s="409"/>
      <c r="X180" s="409"/>
      <c r="Y180" s="409"/>
      <c r="Z180" s="409"/>
    </row>
    <row r="181" spans="1:26" ht="15.75" customHeight="1" x14ac:dyDescent="0.3">
      <c r="A181" s="409"/>
      <c r="B181" s="409"/>
      <c r="C181" s="409"/>
      <c r="D181" s="409"/>
      <c r="E181" s="409"/>
      <c r="F181" s="409"/>
      <c r="G181" s="409"/>
      <c r="H181" s="409"/>
      <c r="I181" s="409"/>
      <c r="J181" s="409"/>
      <c r="K181" s="409"/>
      <c r="L181" s="409"/>
      <c r="M181" s="409"/>
      <c r="N181" s="409"/>
      <c r="O181" s="409"/>
      <c r="P181" s="409"/>
      <c r="Q181" s="409"/>
      <c r="R181" s="409"/>
      <c r="S181" s="409"/>
      <c r="T181" s="409"/>
      <c r="U181" s="409"/>
      <c r="V181" s="409"/>
      <c r="W181" s="409"/>
      <c r="X181" s="409"/>
      <c r="Y181" s="409"/>
      <c r="Z181" s="409"/>
    </row>
    <row r="182" spans="1:26" ht="15.75" customHeight="1" x14ac:dyDescent="0.3">
      <c r="A182" s="409"/>
      <c r="B182" s="409"/>
      <c r="C182" s="409"/>
      <c r="D182" s="409"/>
      <c r="E182" s="409"/>
      <c r="F182" s="409"/>
      <c r="G182" s="409"/>
      <c r="H182" s="409"/>
      <c r="I182" s="409"/>
      <c r="J182" s="409"/>
      <c r="K182" s="409"/>
      <c r="L182" s="409"/>
      <c r="M182" s="409"/>
      <c r="N182" s="409"/>
      <c r="O182" s="409"/>
      <c r="P182" s="409"/>
      <c r="Q182" s="409"/>
      <c r="R182" s="409"/>
      <c r="S182" s="409"/>
      <c r="T182" s="409"/>
      <c r="U182" s="409"/>
      <c r="V182" s="409"/>
      <c r="W182" s="409"/>
      <c r="X182" s="409"/>
      <c r="Y182" s="409"/>
      <c r="Z182" s="409"/>
    </row>
    <row r="183" spans="1:26" ht="15.75" customHeight="1" x14ac:dyDescent="0.3">
      <c r="A183" s="409"/>
      <c r="B183" s="409"/>
      <c r="C183" s="409"/>
      <c r="D183" s="409"/>
      <c r="E183" s="409"/>
      <c r="F183" s="409"/>
      <c r="G183" s="409"/>
      <c r="H183" s="409"/>
      <c r="I183" s="409"/>
      <c r="J183" s="409"/>
      <c r="K183" s="409"/>
      <c r="L183" s="409"/>
      <c r="M183" s="409"/>
      <c r="N183" s="409"/>
      <c r="O183" s="409"/>
      <c r="P183" s="409"/>
      <c r="Q183" s="409"/>
      <c r="R183" s="409"/>
      <c r="S183" s="409"/>
      <c r="T183" s="409"/>
      <c r="U183" s="409"/>
      <c r="V183" s="409"/>
      <c r="W183" s="409"/>
      <c r="X183" s="409"/>
      <c r="Y183" s="409"/>
      <c r="Z183" s="409"/>
    </row>
    <row r="184" spans="1:26" ht="15.75" customHeight="1" x14ac:dyDescent="0.3">
      <c r="A184" s="409"/>
      <c r="B184" s="409"/>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09"/>
      <c r="Y184" s="409"/>
      <c r="Z184" s="409"/>
    </row>
    <row r="185" spans="1:26" ht="15.75" customHeight="1" x14ac:dyDescent="0.3">
      <c r="A185" s="409"/>
      <c r="B185" s="409"/>
      <c r="C185" s="409"/>
      <c r="D185" s="409"/>
      <c r="E185" s="409"/>
      <c r="F185" s="409"/>
      <c r="G185" s="409"/>
      <c r="H185" s="409"/>
      <c r="I185" s="409"/>
      <c r="J185" s="409"/>
      <c r="K185" s="409"/>
      <c r="L185" s="409"/>
      <c r="M185" s="409"/>
      <c r="N185" s="409"/>
      <c r="O185" s="409"/>
      <c r="P185" s="409"/>
      <c r="Q185" s="409"/>
      <c r="R185" s="409"/>
      <c r="S185" s="409"/>
      <c r="T185" s="409"/>
      <c r="U185" s="409"/>
      <c r="V185" s="409"/>
      <c r="W185" s="409"/>
      <c r="X185" s="409"/>
      <c r="Y185" s="409"/>
      <c r="Z185" s="409"/>
    </row>
    <row r="186" spans="1:26" ht="15.75" customHeight="1" x14ac:dyDescent="0.3">
      <c r="A186" s="409"/>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row>
    <row r="187" spans="1:26" ht="15.75" customHeight="1" x14ac:dyDescent="0.3">
      <c r="A187" s="409"/>
      <c r="B187" s="409"/>
      <c r="C187" s="409"/>
      <c r="D187" s="409"/>
      <c r="E187" s="409"/>
      <c r="F187" s="409"/>
      <c r="G187" s="409"/>
      <c r="H187" s="409"/>
      <c r="I187" s="409"/>
      <c r="J187" s="409"/>
      <c r="K187" s="409"/>
      <c r="L187" s="409"/>
      <c r="M187" s="409"/>
      <c r="N187" s="409"/>
      <c r="O187" s="409"/>
      <c r="P187" s="409"/>
      <c r="Q187" s="409"/>
      <c r="R187" s="409"/>
      <c r="S187" s="409"/>
      <c r="T187" s="409"/>
      <c r="U187" s="409"/>
      <c r="V187" s="409"/>
      <c r="W187" s="409"/>
      <c r="X187" s="409"/>
      <c r="Y187" s="409"/>
      <c r="Z187" s="409"/>
    </row>
    <row r="188" spans="1:26" ht="15.75" customHeight="1" x14ac:dyDescent="0.3">
      <c r="A188" s="409"/>
      <c r="B188" s="409"/>
      <c r="C188" s="409"/>
      <c r="D188" s="409"/>
      <c r="E188" s="409"/>
      <c r="F188" s="409"/>
      <c r="G188" s="409"/>
      <c r="H188" s="409"/>
      <c r="I188" s="409"/>
      <c r="J188" s="409"/>
      <c r="K188" s="409"/>
      <c r="L188" s="409"/>
      <c r="M188" s="409"/>
      <c r="N188" s="409"/>
      <c r="O188" s="409"/>
      <c r="P188" s="409"/>
      <c r="Q188" s="409"/>
      <c r="R188" s="409"/>
      <c r="S188" s="409"/>
      <c r="T188" s="409"/>
      <c r="U188" s="409"/>
      <c r="V188" s="409"/>
      <c r="W188" s="409"/>
      <c r="X188" s="409"/>
      <c r="Y188" s="409"/>
      <c r="Z188" s="409"/>
    </row>
    <row r="189" spans="1:26" ht="15.75" customHeight="1" x14ac:dyDescent="0.3">
      <c r="A189" s="409"/>
      <c r="B189" s="409"/>
      <c r="C189" s="409"/>
      <c r="D189" s="409"/>
      <c r="E189" s="409"/>
      <c r="F189" s="409"/>
      <c r="G189" s="409"/>
      <c r="H189" s="409"/>
      <c r="I189" s="409"/>
      <c r="J189" s="409"/>
      <c r="K189" s="409"/>
      <c r="L189" s="409"/>
      <c r="M189" s="409"/>
      <c r="N189" s="409"/>
      <c r="O189" s="409"/>
      <c r="P189" s="409"/>
      <c r="Q189" s="409"/>
      <c r="R189" s="409"/>
      <c r="S189" s="409"/>
      <c r="T189" s="409"/>
      <c r="U189" s="409"/>
      <c r="V189" s="409"/>
      <c r="W189" s="409"/>
      <c r="X189" s="409"/>
      <c r="Y189" s="409"/>
      <c r="Z189" s="409"/>
    </row>
    <row r="190" spans="1:26" ht="15.75" customHeight="1" x14ac:dyDescent="0.3">
      <c r="A190" s="409"/>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row>
    <row r="191" spans="1:26" ht="15.75" customHeight="1" x14ac:dyDescent="0.3">
      <c r="A191" s="409"/>
      <c r="B191" s="409"/>
      <c r="C191" s="409"/>
      <c r="D191" s="409"/>
      <c r="E191" s="409"/>
      <c r="F191" s="409"/>
      <c r="G191" s="409"/>
      <c r="H191" s="409"/>
      <c r="I191" s="409"/>
      <c r="J191" s="409"/>
      <c r="K191" s="409"/>
      <c r="L191" s="409"/>
      <c r="M191" s="409"/>
      <c r="N191" s="409"/>
      <c r="O191" s="409"/>
      <c r="P191" s="409"/>
      <c r="Q191" s="409"/>
      <c r="R191" s="409"/>
      <c r="S191" s="409"/>
      <c r="T191" s="409"/>
      <c r="U191" s="409"/>
      <c r="V191" s="409"/>
      <c r="W191" s="409"/>
      <c r="X191" s="409"/>
      <c r="Y191" s="409"/>
      <c r="Z191" s="409"/>
    </row>
    <row r="192" spans="1:26" ht="15.75" customHeight="1" x14ac:dyDescent="0.3">
      <c r="A192" s="409"/>
      <c r="B192" s="409"/>
      <c r="C192" s="409"/>
      <c r="D192" s="409"/>
      <c r="E192" s="409"/>
      <c r="F192" s="409"/>
      <c r="G192" s="409"/>
      <c r="H192" s="409"/>
      <c r="I192" s="409"/>
      <c r="J192" s="409"/>
      <c r="K192" s="409"/>
      <c r="L192" s="409"/>
      <c r="M192" s="409"/>
      <c r="N192" s="409"/>
      <c r="O192" s="409"/>
      <c r="P192" s="409"/>
      <c r="Q192" s="409"/>
      <c r="R192" s="409"/>
      <c r="S192" s="409"/>
      <c r="T192" s="409"/>
      <c r="U192" s="409"/>
      <c r="V192" s="409"/>
      <c r="W192" s="409"/>
      <c r="X192" s="409"/>
      <c r="Y192" s="409"/>
      <c r="Z192" s="409"/>
    </row>
    <row r="193" spans="1:26" ht="15.75" customHeight="1" x14ac:dyDescent="0.3">
      <c r="A193" s="409"/>
      <c r="B193" s="409"/>
      <c r="C193" s="409"/>
      <c r="D193" s="409"/>
      <c r="E193" s="409"/>
      <c r="F193" s="409"/>
      <c r="G193" s="409"/>
      <c r="H193" s="409"/>
      <c r="I193" s="409"/>
      <c r="J193" s="409"/>
      <c r="K193" s="409"/>
      <c r="L193" s="409"/>
      <c r="M193" s="409"/>
      <c r="N193" s="409"/>
      <c r="O193" s="409"/>
      <c r="P193" s="409"/>
      <c r="Q193" s="409"/>
      <c r="R193" s="409"/>
      <c r="S193" s="409"/>
      <c r="T193" s="409"/>
      <c r="U193" s="409"/>
      <c r="V193" s="409"/>
      <c r="W193" s="409"/>
      <c r="X193" s="409"/>
      <c r="Y193" s="409"/>
      <c r="Z193" s="409"/>
    </row>
    <row r="194" spans="1:26" ht="15.75" customHeight="1" x14ac:dyDescent="0.3">
      <c r="A194" s="409"/>
      <c r="B194" s="409"/>
      <c r="C194" s="409"/>
      <c r="D194" s="409"/>
      <c r="E194" s="409"/>
      <c r="F194" s="409"/>
      <c r="G194" s="409"/>
      <c r="H194" s="409"/>
      <c r="I194" s="409"/>
      <c r="J194" s="409"/>
      <c r="K194" s="409"/>
      <c r="L194" s="409"/>
      <c r="M194" s="409"/>
      <c r="N194" s="409"/>
      <c r="O194" s="409"/>
      <c r="P194" s="409"/>
      <c r="Q194" s="409"/>
      <c r="R194" s="409"/>
      <c r="S194" s="409"/>
      <c r="T194" s="409"/>
      <c r="U194" s="409"/>
      <c r="V194" s="409"/>
      <c r="W194" s="409"/>
      <c r="X194" s="409"/>
      <c r="Y194" s="409"/>
      <c r="Z194" s="409"/>
    </row>
    <row r="195" spans="1:26" ht="15.75" customHeight="1" x14ac:dyDescent="0.3">
      <c r="A195" s="409"/>
      <c r="B195" s="409"/>
      <c r="C195" s="409"/>
      <c r="D195" s="409"/>
      <c r="E195" s="409"/>
      <c r="F195" s="409"/>
      <c r="G195" s="409"/>
      <c r="H195" s="409"/>
      <c r="I195" s="409"/>
      <c r="J195" s="409"/>
      <c r="K195" s="409"/>
      <c r="L195" s="409"/>
      <c r="M195" s="409"/>
      <c r="N195" s="409"/>
      <c r="O195" s="409"/>
      <c r="P195" s="409"/>
      <c r="Q195" s="409"/>
      <c r="R195" s="409"/>
      <c r="S195" s="409"/>
      <c r="T195" s="409"/>
      <c r="U195" s="409"/>
      <c r="V195" s="409"/>
      <c r="W195" s="409"/>
      <c r="X195" s="409"/>
      <c r="Y195" s="409"/>
      <c r="Z195" s="409"/>
    </row>
    <row r="196" spans="1:26" ht="15.75" customHeight="1" x14ac:dyDescent="0.3">
      <c r="A196" s="409"/>
      <c r="B196" s="409"/>
      <c r="C196" s="409"/>
      <c r="D196" s="409"/>
      <c r="E196" s="409"/>
      <c r="F196" s="409"/>
      <c r="G196" s="409"/>
      <c r="H196" s="409"/>
      <c r="I196" s="409"/>
      <c r="J196" s="409"/>
      <c r="K196" s="409"/>
      <c r="L196" s="409"/>
      <c r="M196" s="409"/>
      <c r="N196" s="409"/>
      <c r="O196" s="409"/>
      <c r="P196" s="409"/>
      <c r="Q196" s="409"/>
      <c r="R196" s="409"/>
      <c r="S196" s="409"/>
      <c r="T196" s="409"/>
      <c r="U196" s="409"/>
      <c r="V196" s="409"/>
      <c r="W196" s="409"/>
      <c r="X196" s="409"/>
      <c r="Y196" s="409"/>
      <c r="Z196" s="409"/>
    </row>
    <row r="197" spans="1:26" ht="15.75" customHeight="1" x14ac:dyDescent="0.3">
      <c r="A197" s="409"/>
      <c r="B197" s="409"/>
      <c r="C197" s="409"/>
      <c r="D197" s="409"/>
      <c r="E197" s="409"/>
      <c r="F197" s="409"/>
      <c r="G197" s="409"/>
      <c r="H197" s="409"/>
      <c r="I197" s="409"/>
      <c r="J197" s="409"/>
      <c r="K197" s="409"/>
      <c r="L197" s="409"/>
      <c r="M197" s="409"/>
      <c r="N197" s="409"/>
      <c r="O197" s="409"/>
      <c r="P197" s="409"/>
      <c r="Q197" s="409"/>
      <c r="R197" s="409"/>
      <c r="S197" s="409"/>
      <c r="T197" s="409"/>
      <c r="U197" s="409"/>
      <c r="V197" s="409"/>
      <c r="W197" s="409"/>
      <c r="X197" s="409"/>
      <c r="Y197" s="409"/>
      <c r="Z197" s="409"/>
    </row>
    <row r="198" spans="1:26" ht="15.75" customHeight="1" x14ac:dyDescent="0.3">
      <c r="A198" s="409"/>
      <c r="B198" s="409"/>
      <c r="C198" s="409"/>
      <c r="D198" s="409"/>
      <c r="E198" s="409"/>
      <c r="F198" s="409"/>
      <c r="G198" s="409"/>
      <c r="H198" s="409"/>
      <c r="I198" s="409"/>
      <c r="J198" s="409"/>
      <c r="K198" s="409"/>
      <c r="L198" s="409"/>
      <c r="M198" s="409"/>
      <c r="N198" s="409"/>
      <c r="O198" s="409"/>
      <c r="P198" s="409"/>
      <c r="Q198" s="409"/>
      <c r="R198" s="409"/>
      <c r="S198" s="409"/>
      <c r="T198" s="409"/>
      <c r="U198" s="409"/>
      <c r="V198" s="409"/>
      <c r="W198" s="409"/>
      <c r="X198" s="409"/>
      <c r="Y198" s="409"/>
      <c r="Z198" s="409"/>
    </row>
    <row r="199" spans="1:26" ht="15.75" customHeight="1" x14ac:dyDescent="0.3">
      <c r="A199" s="409"/>
      <c r="B199" s="409"/>
      <c r="C199" s="409"/>
      <c r="D199" s="409"/>
      <c r="E199" s="409"/>
      <c r="F199" s="409"/>
      <c r="G199" s="409"/>
      <c r="H199" s="409"/>
      <c r="I199" s="409"/>
      <c r="J199" s="409"/>
      <c r="K199" s="409"/>
      <c r="L199" s="409"/>
      <c r="M199" s="409"/>
      <c r="N199" s="409"/>
      <c r="O199" s="409"/>
      <c r="P199" s="409"/>
      <c r="Q199" s="409"/>
      <c r="R199" s="409"/>
      <c r="S199" s="409"/>
      <c r="T199" s="409"/>
      <c r="U199" s="409"/>
      <c r="V199" s="409"/>
      <c r="W199" s="409"/>
      <c r="X199" s="409"/>
      <c r="Y199" s="409"/>
      <c r="Z199" s="409"/>
    </row>
    <row r="200" spans="1:26" ht="15.75" customHeight="1" x14ac:dyDescent="0.3">
      <c r="A200" s="409"/>
      <c r="B200" s="409"/>
      <c r="C200" s="409"/>
      <c r="D200" s="409"/>
      <c r="E200" s="409"/>
      <c r="F200" s="409"/>
      <c r="G200" s="409"/>
      <c r="H200" s="409"/>
      <c r="I200" s="409"/>
      <c r="J200" s="409"/>
      <c r="K200" s="409"/>
      <c r="L200" s="409"/>
      <c r="M200" s="409"/>
      <c r="N200" s="409"/>
      <c r="O200" s="409"/>
      <c r="P200" s="409"/>
      <c r="Q200" s="409"/>
      <c r="R200" s="409"/>
      <c r="S200" s="409"/>
      <c r="T200" s="409"/>
      <c r="U200" s="409"/>
      <c r="V200" s="409"/>
      <c r="W200" s="409"/>
      <c r="X200" s="409"/>
      <c r="Y200" s="409"/>
      <c r="Z200" s="409"/>
    </row>
    <row r="201" spans="1:26" ht="15.75" customHeight="1" x14ac:dyDescent="0.3">
      <c r="A201" s="409"/>
      <c r="B201" s="409"/>
      <c r="C201" s="409"/>
      <c r="D201" s="409"/>
      <c r="E201" s="409"/>
      <c r="F201" s="409"/>
      <c r="G201" s="409"/>
      <c r="H201" s="409"/>
      <c r="I201" s="409"/>
      <c r="J201" s="409"/>
      <c r="K201" s="409"/>
      <c r="L201" s="409"/>
      <c r="M201" s="409"/>
      <c r="N201" s="409"/>
      <c r="O201" s="409"/>
      <c r="P201" s="409"/>
      <c r="Q201" s="409"/>
      <c r="R201" s="409"/>
      <c r="S201" s="409"/>
      <c r="T201" s="409"/>
      <c r="U201" s="409"/>
      <c r="V201" s="409"/>
      <c r="W201" s="409"/>
      <c r="X201" s="409"/>
      <c r="Y201" s="409"/>
      <c r="Z201" s="409"/>
    </row>
    <row r="202" spans="1:26" ht="15.75" customHeight="1" x14ac:dyDescent="0.3">
      <c r="A202" s="409"/>
      <c r="B202" s="409"/>
      <c r="C202" s="409"/>
      <c r="D202" s="409"/>
      <c r="E202" s="409"/>
      <c r="F202" s="409"/>
      <c r="G202" s="409"/>
      <c r="H202" s="409"/>
      <c r="I202" s="409"/>
      <c r="J202" s="409"/>
      <c r="K202" s="409"/>
      <c r="L202" s="409"/>
      <c r="M202" s="409"/>
      <c r="N202" s="409"/>
      <c r="O202" s="409"/>
      <c r="P202" s="409"/>
      <c r="Q202" s="409"/>
      <c r="R202" s="409"/>
      <c r="S202" s="409"/>
      <c r="T202" s="409"/>
      <c r="U202" s="409"/>
      <c r="V202" s="409"/>
      <c r="W202" s="409"/>
      <c r="X202" s="409"/>
      <c r="Y202" s="409"/>
      <c r="Z202" s="409"/>
    </row>
    <row r="203" spans="1:26" ht="15.75" customHeight="1" x14ac:dyDescent="0.3">
      <c r="A203" s="409"/>
      <c r="B203" s="409"/>
      <c r="C203" s="409"/>
      <c r="D203" s="409"/>
      <c r="E203" s="409"/>
      <c r="F203" s="409"/>
      <c r="G203" s="409"/>
      <c r="H203" s="409"/>
      <c r="I203" s="409"/>
      <c r="J203" s="409"/>
      <c r="K203" s="409"/>
      <c r="L203" s="409"/>
      <c r="M203" s="409"/>
      <c r="N203" s="409"/>
      <c r="O203" s="409"/>
      <c r="P203" s="409"/>
      <c r="Q203" s="409"/>
      <c r="R203" s="409"/>
      <c r="S203" s="409"/>
      <c r="T203" s="409"/>
      <c r="U203" s="409"/>
      <c r="V203" s="409"/>
      <c r="W203" s="409"/>
      <c r="X203" s="409"/>
      <c r="Y203" s="409"/>
      <c r="Z203" s="409"/>
    </row>
    <row r="204" spans="1:26" ht="15.75" customHeight="1" x14ac:dyDescent="0.3">
      <c r="A204" s="409"/>
      <c r="B204" s="409"/>
      <c r="C204" s="409"/>
      <c r="D204" s="409"/>
      <c r="E204" s="409"/>
      <c r="F204" s="409"/>
      <c r="G204" s="409"/>
      <c r="H204" s="409"/>
      <c r="I204" s="409"/>
      <c r="J204" s="409"/>
      <c r="K204" s="409"/>
      <c r="L204" s="409"/>
      <c r="M204" s="409"/>
      <c r="N204" s="409"/>
      <c r="O204" s="409"/>
      <c r="P204" s="409"/>
      <c r="Q204" s="409"/>
      <c r="R204" s="409"/>
      <c r="S204" s="409"/>
      <c r="T204" s="409"/>
      <c r="U204" s="409"/>
      <c r="V204" s="409"/>
      <c r="W204" s="409"/>
      <c r="X204" s="409"/>
      <c r="Y204" s="409"/>
      <c r="Z204" s="409"/>
    </row>
    <row r="205" spans="1:26" ht="15.75" customHeight="1" x14ac:dyDescent="0.3">
      <c r="A205" s="409"/>
      <c r="B205" s="409"/>
      <c r="C205" s="409"/>
      <c r="D205" s="409"/>
      <c r="E205" s="409"/>
      <c r="F205" s="409"/>
      <c r="G205" s="409"/>
      <c r="H205" s="409"/>
      <c r="I205" s="409"/>
      <c r="J205" s="409"/>
      <c r="K205" s="409"/>
      <c r="L205" s="409"/>
      <c r="M205" s="409"/>
      <c r="N205" s="409"/>
      <c r="O205" s="409"/>
      <c r="P205" s="409"/>
      <c r="Q205" s="409"/>
      <c r="R205" s="409"/>
      <c r="S205" s="409"/>
      <c r="T205" s="409"/>
      <c r="U205" s="409"/>
      <c r="V205" s="409"/>
      <c r="W205" s="409"/>
      <c r="X205" s="409"/>
      <c r="Y205" s="409"/>
      <c r="Z205" s="409"/>
    </row>
    <row r="206" spans="1:26" ht="15.75" customHeight="1" x14ac:dyDescent="0.3">
      <c r="A206" s="409"/>
      <c r="B206" s="409"/>
      <c r="C206" s="409"/>
      <c r="D206" s="409"/>
      <c r="E206" s="409"/>
      <c r="F206" s="409"/>
      <c r="G206" s="409"/>
      <c r="H206" s="409"/>
      <c r="I206" s="409"/>
      <c r="J206" s="409"/>
      <c r="K206" s="409"/>
      <c r="L206" s="409"/>
      <c r="M206" s="409"/>
      <c r="N206" s="409"/>
      <c r="O206" s="409"/>
      <c r="P206" s="409"/>
      <c r="Q206" s="409"/>
      <c r="R206" s="409"/>
      <c r="S206" s="409"/>
      <c r="T206" s="409"/>
      <c r="U206" s="409"/>
      <c r="V206" s="409"/>
      <c r="W206" s="409"/>
      <c r="X206" s="409"/>
      <c r="Y206" s="409"/>
      <c r="Z206" s="409"/>
    </row>
    <row r="207" spans="1:26" ht="15.75" customHeight="1" x14ac:dyDescent="0.3">
      <c r="A207" s="409"/>
      <c r="B207" s="409"/>
      <c r="C207" s="409"/>
      <c r="D207" s="409"/>
      <c r="E207" s="409"/>
      <c r="F207" s="409"/>
      <c r="G207" s="409"/>
      <c r="H207" s="409"/>
      <c r="I207" s="409"/>
      <c r="J207" s="409"/>
      <c r="K207" s="409"/>
      <c r="L207" s="409"/>
      <c r="M207" s="409"/>
      <c r="N207" s="409"/>
      <c r="O207" s="409"/>
      <c r="P207" s="409"/>
      <c r="Q207" s="409"/>
      <c r="R207" s="409"/>
      <c r="S207" s="409"/>
      <c r="T207" s="409"/>
      <c r="U207" s="409"/>
      <c r="V207" s="409"/>
      <c r="W207" s="409"/>
      <c r="X207" s="409"/>
      <c r="Y207" s="409"/>
      <c r="Z207" s="409"/>
    </row>
    <row r="208" spans="1:26" ht="15.75" customHeight="1" x14ac:dyDescent="0.3">
      <c r="A208" s="409"/>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row>
    <row r="209" spans="1:26" ht="15.75" customHeight="1" x14ac:dyDescent="0.3">
      <c r="A209" s="409"/>
      <c r="B209" s="409"/>
      <c r="C209" s="409"/>
      <c r="D209" s="409"/>
      <c r="E209" s="409"/>
      <c r="F209" s="409"/>
      <c r="G209" s="409"/>
      <c r="H209" s="409"/>
      <c r="I209" s="409"/>
      <c r="J209" s="409"/>
      <c r="K209" s="409"/>
      <c r="L209" s="409"/>
      <c r="M209" s="409"/>
      <c r="N209" s="409"/>
      <c r="O209" s="409"/>
      <c r="P209" s="409"/>
      <c r="Q209" s="409"/>
      <c r="R209" s="409"/>
      <c r="S209" s="409"/>
      <c r="T209" s="409"/>
      <c r="U209" s="409"/>
      <c r="V209" s="409"/>
      <c r="W209" s="409"/>
      <c r="X209" s="409"/>
      <c r="Y209" s="409"/>
      <c r="Z209" s="409"/>
    </row>
    <row r="210" spans="1:26" ht="15.75" customHeight="1" x14ac:dyDescent="0.3">
      <c r="A210" s="409"/>
      <c r="B210" s="409"/>
      <c r="C210" s="409"/>
      <c r="D210" s="409"/>
      <c r="E210" s="409"/>
      <c r="F210" s="409"/>
      <c r="G210" s="409"/>
      <c r="H210" s="409"/>
      <c r="I210" s="409"/>
      <c r="J210" s="409"/>
      <c r="K210" s="409"/>
      <c r="L210" s="409"/>
      <c r="M210" s="409"/>
      <c r="N210" s="409"/>
      <c r="O210" s="409"/>
      <c r="P210" s="409"/>
      <c r="Q210" s="409"/>
      <c r="R210" s="409"/>
      <c r="S210" s="409"/>
      <c r="T210" s="409"/>
      <c r="U210" s="409"/>
      <c r="V210" s="409"/>
      <c r="W210" s="409"/>
      <c r="X210" s="409"/>
      <c r="Y210" s="409"/>
      <c r="Z210" s="409"/>
    </row>
    <row r="211" spans="1:26" ht="15.75" customHeight="1" x14ac:dyDescent="0.3">
      <c r="A211" s="409"/>
      <c r="B211" s="409"/>
      <c r="C211" s="409"/>
      <c r="D211" s="409"/>
      <c r="E211" s="409"/>
      <c r="F211" s="409"/>
      <c r="G211" s="409"/>
      <c r="H211" s="409"/>
      <c r="I211" s="409"/>
      <c r="J211" s="409"/>
      <c r="K211" s="409"/>
      <c r="L211" s="409"/>
      <c r="M211" s="409"/>
      <c r="N211" s="409"/>
      <c r="O211" s="409"/>
      <c r="P211" s="409"/>
      <c r="Q211" s="409"/>
      <c r="R211" s="409"/>
      <c r="S211" s="409"/>
      <c r="T211" s="409"/>
      <c r="U211" s="409"/>
      <c r="V211" s="409"/>
      <c r="W211" s="409"/>
      <c r="X211" s="409"/>
      <c r="Y211" s="409"/>
      <c r="Z211" s="409"/>
    </row>
    <row r="212" spans="1:26" ht="15.75" customHeight="1" x14ac:dyDescent="0.3">
      <c r="A212" s="409"/>
      <c r="B212" s="409"/>
      <c r="C212" s="409"/>
      <c r="D212" s="409"/>
      <c r="E212" s="409"/>
      <c r="F212" s="409"/>
      <c r="G212" s="409"/>
      <c r="H212" s="409"/>
      <c r="I212" s="409"/>
      <c r="J212" s="409"/>
      <c r="K212" s="409"/>
      <c r="L212" s="409"/>
      <c r="M212" s="409"/>
      <c r="N212" s="409"/>
      <c r="O212" s="409"/>
      <c r="P212" s="409"/>
      <c r="Q212" s="409"/>
      <c r="R212" s="409"/>
      <c r="S212" s="409"/>
      <c r="T212" s="409"/>
      <c r="U212" s="409"/>
      <c r="V212" s="409"/>
      <c r="W212" s="409"/>
      <c r="X212" s="409"/>
      <c r="Y212" s="409"/>
      <c r="Z212" s="409"/>
    </row>
    <row r="213" spans="1:26" ht="15.75" customHeight="1" x14ac:dyDescent="0.3">
      <c r="A213" s="409"/>
      <c r="B213" s="409"/>
      <c r="C213" s="409"/>
      <c r="D213" s="409"/>
      <c r="E213" s="409"/>
      <c r="F213" s="409"/>
      <c r="G213" s="409"/>
      <c r="H213" s="409"/>
      <c r="I213" s="409"/>
      <c r="J213" s="409"/>
      <c r="K213" s="409"/>
      <c r="L213" s="409"/>
      <c r="M213" s="409"/>
      <c r="N213" s="409"/>
      <c r="O213" s="409"/>
      <c r="P213" s="409"/>
      <c r="Q213" s="409"/>
      <c r="R213" s="409"/>
      <c r="S213" s="409"/>
      <c r="T213" s="409"/>
      <c r="U213" s="409"/>
      <c r="V213" s="409"/>
      <c r="W213" s="409"/>
      <c r="X213" s="409"/>
      <c r="Y213" s="409"/>
      <c r="Z213" s="409"/>
    </row>
    <row r="214" spans="1:26" ht="15.75" customHeight="1" x14ac:dyDescent="0.3">
      <c r="A214" s="409"/>
      <c r="B214" s="409"/>
      <c r="C214" s="409"/>
      <c r="D214" s="409"/>
      <c r="E214" s="409"/>
      <c r="F214" s="409"/>
      <c r="G214" s="409"/>
      <c r="H214" s="409"/>
      <c r="I214" s="409"/>
      <c r="J214" s="409"/>
      <c r="K214" s="409"/>
      <c r="L214" s="409"/>
      <c r="M214" s="409"/>
      <c r="N214" s="409"/>
      <c r="O214" s="409"/>
      <c r="P214" s="409"/>
      <c r="Q214" s="409"/>
      <c r="R214" s="409"/>
      <c r="S214" s="409"/>
      <c r="T214" s="409"/>
      <c r="U214" s="409"/>
      <c r="V214" s="409"/>
      <c r="W214" s="409"/>
      <c r="X214" s="409"/>
      <c r="Y214" s="409"/>
      <c r="Z214" s="409"/>
    </row>
    <row r="215" spans="1:26" ht="15.75" customHeight="1" x14ac:dyDescent="0.3">
      <c r="A215" s="409"/>
      <c r="B215" s="409"/>
      <c r="C215" s="409"/>
      <c r="D215" s="409"/>
      <c r="E215" s="409"/>
      <c r="F215" s="409"/>
      <c r="G215" s="409"/>
      <c r="H215" s="409"/>
      <c r="I215" s="409"/>
      <c r="J215" s="409"/>
      <c r="K215" s="409"/>
      <c r="L215" s="409"/>
      <c r="M215" s="409"/>
      <c r="N215" s="409"/>
      <c r="O215" s="409"/>
      <c r="P215" s="409"/>
      <c r="Q215" s="409"/>
      <c r="R215" s="409"/>
      <c r="S215" s="409"/>
      <c r="T215" s="409"/>
      <c r="U215" s="409"/>
      <c r="V215" s="409"/>
      <c r="W215" s="409"/>
      <c r="X215" s="409"/>
      <c r="Y215" s="409"/>
      <c r="Z215" s="409"/>
    </row>
    <row r="216" spans="1:26" ht="15.75" customHeight="1" x14ac:dyDescent="0.3">
      <c r="A216" s="409"/>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row>
    <row r="217" spans="1:26" ht="15.75" customHeight="1" x14ac:dyDescent="0.3">
      <c r="A217" s="409"/>
      <c r="B217" s="409"/>
      <c r="C217" s="409"/>
      <c r="D217" s="409"/>
      <c r="E217" s="409"/>
      <c r="F217" s="409"/>
      <c r="G217" s="409"/>
      <c r="H217" s="409"/>
      <c r="I217" s="409"/>
      <c r="J217" s="409"/>
      <c r="K217" s="409"/>
      <c r="L217" s="409"/>
      <c r="M217" s="409"/>
      <c r="N217" s="409"/>
      <c r="O217" s="409"/>
      <c r="P217" s="409"/>
      <c r="Q217" s="409"/>
      <c r="R217" s="409"/>
      <c r="S217" s="409"/>
      <c r="T217" s="409"/>
      <c r="U217" s="409"/>
      <c r="V217" s="409"/>
      <c r="W217" s="409"/>
      <c r="X217" s="409"/>
      <c r="Y217" s="409"/>
      <c r="Z217" s="409"/>
    </row>
    <row r="218" spans="1:26" ht="15.75" customHeight="1" x14ac:dyDescent="0.3">
      <c r="A218" s="409"/>
      <c r="B218" s="409"/>
      <c r="C218" s="409"/>
      <c r="D218" s="409"/>
      <c r="E218" s="409"/>
      <c r="F218" s="409"/>
      <c r="G218" s="409"/>
      <c r="H218" s="409"/>
      <c r="I218" s="409"/>
      <c r="J218" s="409"/>
      <c r="K218" s="409"/>
      <c r="L218" s="409"/>
      <c r="M218" s="409"/>
      <c r="N218" s="409"/>
      <c r="O218" s="409"/>
      <c r="P218" s="409"/>
      <c r="Q218" s="409"/>
      <c r="R218" s="409"/>
      <c r="S218" s="409"/>
      <c r="T218" s="409"/>
      <c r="U218" s="409"/>
      <c r="V218" s="409"/>
      <c r="W218" s="409"/>
      <c r="X218" s="409"/>
      <c r="Y218" s="409"/>
      <c r="Z218" s="409"/>
    </row>
    <row r="219" spans="1:26" ht="15.75" customHeight="1" x14ac:dyDescent="0.3">
      <c r="A219" s="409"/>
      <c r="B219" s="409"/>
      <c r="C219" s="409"/>
      <c r="D219" s="409"/>
      <c r="E219" s="409"/>
      <c r="F219" s="409"/>
      <c r="G219" s="409"/>
      <c r="H219" s="409"/>
      <c r="I219" s="409"/>
      <c r="J219" s="409"/>
      <c r="K219" s="409"/>
      <c r="L219" s="409"/>
      <c r="M219" s="409"/>
      <c r="N219" s="409"/>
      <c r="O219" s="409"/>
      <c r="P219" s="409"/>
      <c r="Q219" s="409"/>
      <c r="R219" s="409"/>
      <c r="S219" s="409"/>
      <c r="T219" s="409"/>
      <c r="U219" s="409"/>
      <c r="V219" s="409"/>
      <c r="W219" s="409"/>
      <c r="X219" s="409"/>
      <c r="Y219" s="409"/>
      <c r="Z219" s="409"/>
    </row>
    <row r="220" spans="1:26" ht="15.75" customHeight="1" x14ac:dyDescent="0.3">
      <c r="A220" s="409"/>
      <c r="B220" s="409"/>
      <c r="C220" s="409"/>
      <c r="D220" s="409"/>
      <c r="E220" s="409"/>
      <c r="F220" s="409"/>
      <c r="G220" s="409"/>
      <c r="H220" s="409"/>
      <c r="I220" s="409"/>
      <c r="J220" s="409"/>
      <c r="K220" s="409"/>
      <c r="L220" s="409"/>
      <c r="M220" s="409"/>
      <c r="N220" s="409"/>
      <c r="O220" s="409"/>
      <c r="P220" s="409"/>
      <c r="Q220" s="409"/>
      <c r="R220" s="409"/>
      <c r="S220" s="409"/>
      <c r="T220" s="409"/>
      <c r="U220" s="409"/>
      <c r="V220" s="409"/>
      <c r="W220" s="409"/>
      <c r="X220" s="409"/>
      <c r="Y220" s="409"/>
      <c r="Z220" s="409"/>
    </row>
    <row r="221" spans="1:26" ht="15.75" customHeight="1" x14ac:dyDescent="0.3">
      <c r="A221" s="409"/>
      <c r="B221" s="409"/>
      <c r="C221" s="409"/>
      <c r="D221" s="409"/>
      <c r="E221" s="409"/>
      <c r="F221" s="409"/>
      <c r="G221" s="409"/>
      <c r="H221" s="409"/>
      <c r="I221" s="409"/>
      <c r="J221" s="409"/>
      <c r="K221" s="409"/>
      <c r="L221" s="409"/>
      <c r="M221" s="409"/>
      <c r="N221" s="409"/>
      <c r="O221" s="409"/>
      <c r="P221" s="409"/>
      <c r="Q221" s="409"/>
      <c r="R221" s="409"/>
      <c r="S221" s="409"/>
      <c r="T221" s="409"/>
      <c r="U221" s="409"/>
      <c r="V221" s="409"/>
      <c r="W221" s="409"/>
      <c r="X221" s="409"/>
      <c r="Y221" s="409"/>
      <c r="Z221" s="409"/>
    </row>
    <row r="222" spans="1:26" ht="15.75" customHeight="1" x14ac:dyDescent="0.3">
      <c r="A222" s="409"/>
      <c r="B222" s="409"/>
      <c r="C222" s="409"/>
      <c r="D222" s="409"/>
      <c r="E222" s="409"/>
      <c r="F222" s="409"/>
      <c r="G222" s="409"/>
      <c r="H222" s="409"/>
      <c r="I222" s="409"/>
      <c r="J222" s="409"/>
      <c r="K222" s="409"/>
      <c r="L222" s="409"/>
      <c r="M222" s="409"/>
      <c r="N222" s="409"/>
      <c r="O222" s="409"/>
      <c r="P222" s="409"/>
      <c r="Q222" s="409"/>
      <c r="R222" s="409"/>
      <c r="S222" s="409"/>
      <c r="T222" s="409"/>
      <c r="U222" s="409"/>
      <c r="V222" s="409"/>
      <c r="W222" s="409"/>
      <c r="X222" s="409"/>
      <c r="Y222" s="409"/>
      <c r="Z222" s="409"/>
    </row>
    <row r="223" spans="1:26" ht="15.75" customHeight="1" x14ac:dyDescent="0.3">
      <c r="A223" s="409"/>
      <c r="B223" s="409"/>
      <c r="C223" s="409"/>
      <c r="D223" s="409"/>
      <c r="E223" s="409"/>
      <c r="F223" s="409"/>
      <c r="G223" s="409"/>
      <c r="H223" s="409"/>
      <c r="I223" s="409"/>
      <c r="J223" s="409"/>
      <c r="K223" s="409"/>
      <c r="L223" s="409"/>
      <c r="M223" s="409"/>
      <c r="N223" s="409"/>
      <c r="O223" s="409"/>
      <c r="P223" s="409"/>
      <c r="Q223" s="409"/>
      <c r="R223" s="409"/>
      <c r="S223" s="409"/>
      <c r="T223" s="409"/>
      <c r="U223" s="409"/>
      <c r="V223" s="409"/>
      <c r="W223" s="409"/>
      <c r="X223" s="409"/>
      <c r="Y223" s="409"/>
      <c r="Z223" s="409"/>
    </row>
    <row r="224" spans="1:26" ht="15.75" customHeight="1" x14ac:dyDescent="0.3">
      <c r="A224" s="409"/>
      <c r="B224" s="409"/>
      <c r="C224" s="409"/>
      <c r="D224" s="409"/>
      <c r="E224" s="409"/>
      <c r="F224" s="409"/>
      <c r="G224" s="409"/>
      <c r="H224" s="409"/>
      <c r="I224" s="409"/>
      <c r="J224" s="409"/>
      <c r="K224" s="409"/>
      <c r="L224" s="409"/>
      <c r="M224" s="409"/>
      <c r="N224" s="409"/>
      <c r="O224" s="409"/>
      <c r="P224" s="409"/>
      <c r="Q224" s="409"/>
      <c r="R224" s="409"/>
      <c r="S224" s="409"/>
      <c r="T224" s="409"/>
      <c r="U224" s="409"/>
      <c r="V224" s="409"/>
      <c r="W224" s="409"/>
      <c r="X224" s="409"/>
      <c r="Y224" s="409"/>
      <c r="Z224" s="409"/>
    </row>
    <row r="225" spans="1:26" ht="15.75" customHeight="1" x14ac:dyDescent="0.3">
      <c r="A225" s="409"/>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row>
    <row r="226" spans="1:26" ht="15.75" customHeight="1" x14ac:dyDescent="0.3">
      <c r="A226" s="409"/>
      <c r="B226" s="409"/>
      <c r="C226" s="409"/>
      <c r="D226" s="409"/>
      <c r="E226" s="409"/>
      <c r="F226" s="409"/>
      <c r="G226" s="409"/>
      <c r="H226" s="409"/>
      <c r="I226" s="409"/>
      <c r="J226" s="409"/>
      <c r="K226" s="409"/>
      <c r="L226" s="409"/>
      <c r="M226" s="409"/>
      <c r="N226" s="409"/>
      <c r="O226" s="409"/>
      <c r="P226" s="409"/>
      <c r="Q226" s="409"/>
      <c r="R226" s="409"/>
      <c r="S226" s="409"/>
      <c r="T226" s="409"/>
      <c r="U226" s="409"/>
      <c r="V226" s="409"/>
      <c r="W226" s="409"/>
      <c r="X226" s="409"/>
      <c r="Y226" s="409"/>
      <c r="Z226" s="409"/>
    </row>
    <row r="227" spans="1:26" ht="15.75" customHeight="1" x14ac:dyDescent="0.3">
      <c r="A227" s="409"/>
      <c r="B227" s="409"/>
      <c r="C227" s="409"/>
      <c r="D227" s="409"/>
      <c r="E227" s="409"/>
      <c r="F227" s="409"/>
      <c r="G227" s="409"/>
      <c r="H227" s="409"/>
      <c r="I227" s="409"/>
      <c r="J227" s="409"/>
      <c r="K227" s="409"/>
      <c r="L227" s="409"/>
      <c r="M227" s="409"/>
      <c r="N227" s="409"/>
      <c r="O227" s="409"/>
      <c r="P227" s="409"/>
      <c r="Q227" s="409"/>
      <c r="R227" s="409"/>
      <c r="S227" s="409"/>
      <c r="T227" s="409"/>
      <c r="U227" s="409"/>
      <c r="V227" s="409"/>
      <c r="W227" s="409"/>
      <c r="X227" s="409"/>
      <c r="Y227" s="409"/>
      <c r="Z227" s="409"/>
    </row>
    <row r="228" spans="1:26" ht="15.75" customHeight="1" x14ac:dyDescent="0.3">
      <c r="A228" s="409"/>
      <c r="B228" s="409"/>
      <c r="C228" s="409"/>
      <c r="D228" s="409"/>
      <c r="E228" s="409"/>
      <c r="F228" s="409"/>
      <c r="G228" s="409"/>
      <c r="H228" s="409"/>
      <c r="I228" s="409"/>
      <c r="J228" s="409"/>
      <c r="K228" s="409"/>
      <c r="L228" s="409"/>
      <c r="M228" s="409"/>
      <c r="N228" s="409"/>
      <c r="O228" s="409"/>
      <c r="P228" s="409"/>
      <c r="Q228" s="409"/>
      <c r="R228" s="409"/>
      <c r="S228" s="409"/>
      <c r="T228" s="409"/>
      <c r="U228" s="409"/>
      <c r="V228" s="409"/>
      <c r="W228" s="409"/>
      <c r="X228" s="409"/>
      <c r="Y228" s="409"/>
      <c r="Z228" s="409"/>
    </row>
    <row r="229" spans="1:26" ht="15.75" customHeight="1" x14ac:dyDescent="0.3">
      <c r="A229" s="409"/>
      <c r="B229" s="409"/>
      <c r="C229" s="409"/>
      <c r="D229" s="409"/>
      <c r="E229" s="409"/>
      <c r="F229" s="409"/>
      <c r="G229" s="409"/>
      <c r="H229" s="409"/>
      <c r="I229" s="409"/>
      <c r="J229" s="409"/>
      <c r="K229" s="409"/>
      <c r="L229" s="409"/>
      <c r="M229" s="409"/>
      <c r="N229" s="409"/>
      <c r="O229" s="409"/>
      <c r="P229" s="409"/>
      <c r="Q229" s="409"/>
      <c r="R229" s="409"/>
      <c r="S229" s="409"/>
      <c r="T229" s="409"/>
      <c r="U229" s="409"/>
      <c r="V229" s="409"/>
      <c r="W229" s="409"/>
      <c r="X229" s="409"/>
      <c r="Y229" s="409"/>
      <c r="Z229" s="409"/>
    </row>
    <row r="230" spans="1:26" ht="15.75" customHeight="1" x14ac:dyDescent="0.3">
      <c r="A230" s="409"/>
      <c r="B230" s="409"/>
      <c r="C230" s="409"/>
      <c r="D230" s="409"/>
      <c r="E230" s="409"/>
      <c r="F230" s="409"/>
      <c r="G230" s="409"/>
      <c r="H230" s="409"/>
      <c r="I230" s="409"/>
      <c r="J230" s="409"/>
      <c r="K230" s="409"/>
      <c r="L230" s="409"/>
      <c r="M230" s="409"/>
      <c r="N230" s="409"/>
      <c r="O230" s="409"/>
      <c r="P230" s="409"/>
      <c r="Q230" s="409"/>
      <c r="R230" s="409"/>
      <c r="S230" s="409"/>
      <c r="T230" s="409"/>
      <c r="U230" s="409"/>
      <c r="V230" s="409"/>
      <c r="W230" s="409"/>
      <c r="X230" s="409"/>
      <c r="Y230" s="409"/>
      <c r="Z230" s="409"/>
    </row>
    <row r="231" spans="1:26" ht="15.75" customHeight="1" x14ac:dyDescent="0.3">
      <c r="A231" s="409"/>
      <c r="B231" s="409"/>
      <c r="C231" s="409"/>
      <c r="D231" s="409"/>
      <c r="E231" s="409"/>
      <c r="F231" s="409"/>
      <c r="G231" s="409"/>
      <c r="H231" s="409"/>
      <c r="I231" s="409"/>
      <c r="J231" s="409"/>
      <c r="K231" s="409"/>
      <c r="L231" s="409"/>
      <c r="M231" s="409"/>
      <c r="N231" s="409"/>
      <c r="O231" s="409"/>
      <c r="P231" s="409"/>
      <c r="Q231" s="409"/>
      <c r="R231" s="409"/>
      <c r="S231" s="409"/>
      <c r="T231" s="409"/>
      <c r="U231" s="409"/>
      <c r="V231" s="409"/>
      <c r="W231" s="409"/>
      <c r="X231" s="409"/>
      <c r="Y231" s="409"/>
      <c r="Z231" s="409"/>
    </row>
    <row r="232" spans="1:26" ht="15.75" customHeight="1" x14ac:dyDescent="0.3">
      <c r="A232" s="409"/>
      <c r="B232" s="409"/>
      <c r="C232" s="409"/>
      <c r="D232" s="409"/>
      <c r="E232" s="409"/>
      <c r="F232" s="409"/>
      <c r="G232" s="409"/>
      <c r="H232" s="409"/>
      <c r="I232" s="409"/>
      <c r="J232" s="409"/>
      <c r="K232" s="409"/>
      <c r="L232" s="409"/>
      <c r="M232" s="409"/>
      <c r="N232" s="409"/>
      <c r="O232" s="409"/>
      <c r="P232" s="409"/>
      <c r="Q232" s="409"/>
      <c r="R232" s="409"/>
      <c r="S232" s="409"/>
      <c r="T232" s="409"/>
      <c r="U232" s="409"/>
      <c r="V232" s="409"/>
      <c r="W232" s="409"/>
      <c r="X232" s="409"/>
      <c r="Y232" s="409"/>
      <c r="Z232" s="409"/>
    </row>
    <row r="233" spans="1:26" ht="15.75" customHeight="1" x14ac:dyDescent="0.3">
      <c r="A233" s="409"/>
      <c r="B233" s="409"/>
      <c r="C233" s="409"/>
      <c r="D233" s="409"/>
      <c r="E233" s="409"/>
      <c r="F233" s="409"/>
      <c r="G233" s="409"/>
      <c r="H233" s="409"/>
      <c r="I233" s="409"/>
      <c r="J233" s="409"/>
      <c r="K233" s="409"/>
      <c r="L233" s="409"/>
      <c r="M233" s="409"/>
      <c r="N233" s="409"/>
      <c r="O233" s="409"/>
      <c r="P233" s="409"/>
      <c r="Q233" s="409"/>
      <c r="R233" s="409"/>
      <c r="S233" s="409"/>
      <c r="T233" s="409"/>
      <c r="U233" s="409"/>
      <c r="V233" s="409"/>
      <c r="W233" s="409"/>
      <c r="X233" s="409"/>
      <c r="Y233" s="409"/>
      <c r="Z233" s="409"/>
    </row>
    <row r="234" spans="1:26" ht="15.75" customHeight="1" x14ac:dyDescent="0.3">
      <c r="A234" s="409"/>
      <c r="B234" s="409"/>
      <c r="C234" s="409"/>
      <c r="D234" s="409"/>
      <c r="E234" s="409"/>
      <c r="F234" s="409"/>
      <c r="G234" s="409"/>
      <c r="H234" s="409"/>
      <c r="I234" s="409"/>
      <c r="J234" s="409"/>
      <c r="K234" s="409"/>
      <c r="L234" s="409"/>
      <c r="M234" s="409"/>
      <c r="N234" s="409"/>
      <c r="O234" s="409"/>
      <c r="P234" s="409"/>
      <c r="Q234" s="409"/>
      <c r="R234" s="409"/>
      <c r="S234" s="409"/>
      <c r="T234" s="409"/>
      <c r="U234" s="409"/>
      <c r="V234" s="409"/>
      <c r="W234" s="409"/>
      <c r="X234" s="409"/>
      <c r="Y234" s="409"/>
      <c r="Z234" s="409"/>
    </row>
    <row r="235" spans="1:26" ht="15.75" customHeight="1" x14ac:dyDescent="0.3">
      <c r="A235" s="409"/>
      <c r="B235" s="409"/>
      <c r="C235" s="409"/>
      <c r="D235" s="409"/>
      <c r="E235" s="409"/>
      <c r="F235" s="409"/>
      <c r="G235" s="409"/>
      <c r="H235" s="409"/>
      <c r="I235" s="409"/>
      <c r="J235" s="409"/>
      <c r="K235" s="409"/>
      <c r="L235" s="409"/>
      <c r="M235" s="409"/>
      <c r="N235" s="409"/>
      <c r="O235" s="409"/>
      <c r="P235" s="409"/>
      <c r="Q235" s="409"/>
      <c r="R235" s="409"/>
      <c r="S235" s="409"/>
      <c r="T235" s="409"/>
      <c r="U235" s="409"/>
      <c r="V235" s="409"/>
      <c r="W235" s="409"/>
      <c r="X235" s="409"/>
      <c r="Y235" s="409"/>
      <c r="Z235" s="409"/>
    </row>
    <row r="236" spans="1:26" ht="15.75" customHeight="1" x14ac:dyDescent="0.3">
      <c r="A236" s="409"/>
      <c r="B236" s="409"/>
      <c r="C236" s="409"/>
      <c r="D236" s="409"/>
      <c r="E236" s="409"/>
      <c r="F236" s="409"/>
      <c r="G236" s="409"/>
      <c r="H236" s="409"/>
      <c r="I236" s="409"/>
      <c r="J236" s="409"/>
      <c r="K236" s="409"/>
      <c r="L236" s="409"/>
      <c r="M236" s="409"/>
      <c r="N236" s="409"/>
      <c r="O236" s="409"/>
      <c r="P236" s="409"/>
      <c r="Q236" s="409"/>
      <c r="R236" s="409"/>
      <c r="S236" s="409"/>
      <c r="T236" s="409"/>
      <c r="U236" s="409"/>
      <c r="V236" s="409"/>
      <c r="W236" s="409"/>
      <c r="X236" s="409"/>
      <c r="Y236" s="409"/>
      <c r="Z236" s="409"/>
    </row>
    <row r="237" spans="1:26" ht="15.75" customHeight="1" x14ac:dyDescent="0.3">
      <c r="A237" s="409"/>
      <c r="B237" s="409"/>
      <c r="C237" s="409"/>
      <c r="D237" s="409"/>
      <c r="E237" s="409"/>
      <c r="F237" s="409"/>
      <c r="G237" s="409"/>
      <c r="H237" s="409"/>
      <c r="I237" s="409"/>
      <c r="J237" s="409"/>
      <c r="K237" s="409"/>
      <c r="L237" s="409"/>
      <c r="M237" s="409"/>
      <c r="N237" s="409"/>
      <c r="O237" s="409"/>
      <c r="P237" s="409"/>
      <c r="Q237" s="409"/>
      <c r="R237" s="409"/>
      <c r="S237" s="409"/>
      <c r="T237" s="409"/>
      <c r="U237" s="409"/>
      <c r="V237" s="409"/>
      <c r="W237" s="409"/>
      <c r="X237" s="409"/>
      <c r="Y237" s="409"/>
      <c r="Z237" s="409"/>
    </row>
    <row r="238" spans="1:26" ht="15.75" customHeight="1" x14ac:dyDescent="0.3">
      <c r="A238" s="409"/>
      <c r="B238" s="409"/>
      <c r="C238" s="409"/>
      <c r="D238" s="409"/>
      <c r="E238" s="409"/>
      <c r="F238" s="409"/>
      <c r="G238" s="409"/>
      <c r="H238" s="409"/>
      <c r="I238" s="409"/>
      <c r="J238" s="409"/>
      <c r="K238" s="409"/>
      <c r="L238" s="409"/>
      <c r="M238" s="409"/>
      <c r="N238" s="409"/>
      <c r="O238" s="409"/>
      <c r="P238" s="409"/>
      <c r="Q238" s="409"/>
      <c r="R238" s="409"/>
      <c r="S238" s="409"/>
      <c r="T238" s="409"/>
      <c r="U238" s="409"/>
      <c r="V238" s="409"/>
      <c r="W238" s="409"/>
      <c r="X238" s="409"/>
      <c r="Y238" s="409"/>
      <c r="Z238" s="409"/>
    </row>
    <row r="239" spans="1:26" ht="15.75" customHeight="1" x14ac:dyDescent="0.3">
      <c r="A239" s="409"/>
      <c r="B239" s="409"/>
      <c r="C239" s="409"/>
      <c r="D239" s="409"/>
      <c r="E239" s="409"/>
      <c r="F239" s="409"/>
      <c r="G239" s="409"/>
      <c r="H239" s="409"/>
      <c r="I239" s="409"/>
      <c r="J239" s="409"/>
      <c r="K239" s="409"/>
      <c r="L239" s="409"/>
      <c r="M239" s="409"/>
      <c r="N239" s="409"/>
      <c r="O239" s="409"/>
      <c r="P239" s="409"/>
      <c r="Q239" s="409"/>
      <c r="R239" s="409"/>
      <c r="S239" s="409"/>
      <c r="T239" s="409"/>
      <c r="U239" s="409"/>
      <c r="V239" s="409"/>
      <c r="W239" s="409"/>
      <c r="X239" s="409"/>
      <c r="Y239" s="409"/>
      <c r="Z239" s="409"/>
    </row>
    <row r="240" spans="1:26" ht="15.75" customHeight="1" x14ac:dyDescent="0.3">
      <c r="A240" s="409"/>
      <c r="B240" s="409"/>
      <c r="C240" s="409"/>
      <c r="D240" s="409"/>
      <c r="E240" s="409"/>
      <c r="F240" s="409"/>
      <c r="G240" s="409"/>
      <c r="H240" s="409"/>
      <c r="I240" s="409"/>
      <c r="J240" s="409"/>
      <c r="K240" s="409"/>
      <c r="L240" s="409"/>
      <c r="M240" s="409"/>
      <c r="N240" s="409"/>
      <c r="O240" s="409"/>
      <c r="P240" s="409"/>
      <c r="Q240" s="409"/>
      <c r="R240" s="409"/>
      <c r="S240" s="409"/>
      <c r="T240" s="409"/>
      <c r="U240" s="409"/>
      <c r="V240" s="409"/>
      <c r="W240" s="409"/>
      <c r="X240" s="409"/>
      <c r="Y240" s="409"/>
      <c r="Z240" s="409"/>
    </row>
    <row r="241" spans="1:26" ht="15.75" customHeight="1" x14ac:dyDescent="0.3">
      <c r="A241" s="409"/>
      <c r="B241" s="409"/>
      <c r="C241" s="409"/>
      <c r="D241" s="409"/>
      <c r="E241" s="409"/>
      <c r="F241" s="409"/>
      <c r="G241" s="409"/>
      <c r="H241" s="409"/>
      <c r="I241" s="409"/>
      <c r="J241" s="409"/>
      <c r="K241" s="409"/>
      <c r="L241" s="409"/>
      <c r="M241" s="409"/>
      <c r="N241" s="409"/>
      <c r="O241" s="409"/>
      <c r="P241" s="409"/>
      <c r="Q241" s="409"/>
      <c r="R241" s="409"/>
      <c r="S241" s="409"/>
      <c r="T241" s="409"/>
      <c r="U241" s="409"/>
      <c r="V241" s="409"/>
      <c r="W241" s="409"/>
      <c r="X241" s="409"/>
      <c r="Y241" s="409"/>
      <c r="Z241" s="409"/>
    </row>
    <row r="242" spans="1:26" ht="15.75" customHeight="1" x14ac:dyDescent="0.3">
      <c r="A242" s="409"/>
      <c r="B242" s="409"/>
      <c r="C242" s="409"/>
      <c r="D242" s="409"/>
      <c r="E242" s="409"/>
      <c r="F242" s="409"/>
      <c r="G242" s="409"/>
      <c r="H242" s="409"/>
      <c r="I242" s="409"/>
      <c r="J242" s="409"/>
      <c r="K242" s="409"/>
      <c r="L242" s="409"/>
      <c r="M242" s="409"/>
      <c r="N242" s="409"/>
      <c r="O242" s="409"/>
      <c r="P242" s="409"/>
      <c r="Q242" s="409"/>
      <c r="R242" s="409"/>
      <c r="S242" s="409"/>
      <c r="T242" s="409"/>
      <c r="U242" s="409"/>
      <c r="V242" s="409"/>
      <c r="W242" s="409"/>
      <c r="X242" s="409"/>
      <c r="Y242" s="409"/>
      <c r="Z242" s="409"/>
    </row>
    <row r="243" spans="1:26" ht="15.75" customHeight="1" x14ac:dyDescent="0.3">
      <c r="A243" s="409"/>
      <c r="B243" s="409"/>
      <c r="C243" s="409"/>
      <c r="D243" s="409"/>
      <c r="E243" s="409"/>
      <c r="F243" s="409"/>
      <c r="G243" s="409"/>
      <c r="H243" s="409"/>
      <c r="I243" s="409"/>
      <c r="J243" s="409"/>
      <c r="K243" s="409"/>
      <c r="L243" s="409"/>
      <c r="M243" s="409"/>
      <c r="N243" s="409"/>
      <c r="O243" s="409"/>
      <c r="P243" s="409"/>
      <c r="Q243" s="409"/>
      <c r="R243" s="409"/>
      <c r="S243" s="409"/>
      <c r="T243" s="409"/>
      <c r="U243" s="409"/>
      <c r="V243" s="409"/>
      <c r="W243" s="409"/>
      <c r="X243" s="409"/>
      <c r="Y243" s="409"/>
      <c r="Z243" s="409"/>
    </row>
    <row r="244" spans="1:26" ht="15.75" customHeight="1" x14ac:dyDescent="0.3">
      <c r="A244" s="409"/>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row>
    <row r="245" spans="1:26" ht="15.75" customHeight="1" x14ac:dyDescent="0.3">
      <c r="A245" s="409"/>
      <c r="B245" s="409"/>
      <c r="C245" s="409"/>
      <c r="D245" s="409"/>
      <c r="E245" s="409"/>
      <c r="F245" s="409"/>
      <c r="G245" s="409"/>
      <c r="H245" s="409"/>
      <c r="I245" s="409"/>
      <c r="J245" s="409"/>
      <c r="K245" s="409"/>
      <c r="L245" s="409"/>
      <c r="M245" s="409"/>
      <c r="N245" s="409"/>
      <c r="O245" s="409"/>
      <c r="P245" s="409"/>
      <c r="Q245" s="409"/>
      <c r="R245" s="409"/>
      <c r="S245" s="409"/>
      <c r="T245" s="409"/>
      <c r="U245" s="409"/>
      <c r="V245" s="409"/>
      <c r="W245" s="409"/>
      <c r="X245" s="409"/>
      <c r="Y245" s="409"/>
      <c r="Z245" s="409"/>
    </row>
    <row r="246" spans="1:26" ht="15.75" customHeight="1" x14ac:dyDescent="0.3">
      <c r="A246" s="409"/>
      <c r="B246" s="409"/>
      <c r="C246" s="409"/>
      <c r="D246" s="409"/>
      <c r="E246" s="409"/>
      <c r="F246" s="409"/>
      <c r="G246" s="409"/>
      <c r="H246" s="409"/>
      <c r="I246" s="409"/>
      <c r="J246" s="409"/>
      <c r="K246" s="409"/>
      <c r="L246" s="409"/>
      <c r="M246" s="409"/>
      <c r="N246" s="409"/>
      <c r="O246" s="409"/>
      <c r="P246" s="409"/>
      <c r="Q246" s="409"/>
      <c r="R246" s="409"/>
      <c r="S246" s="409"/>
      <c r="T246" s="409"/>
      <c r="U246" s="409"/>
      <c r="V246" s="409"/>
      <c r="W246" s="409"/>
      <c r="X246" s="409"/>
      <c r="Y246" s="409"/>
      <c r="Z246" s="409"/>
    </row>
    <row r="247" spans="1:26" ht="15.75" customHeight="1" x14ac:dyDescent="0.3">
      <c r="A247" s="409"/>
      <c r="B247" s="409"/>
      <c r="C247" s="409"/>
      <c r="D247" s="409"/>
      <c r="E247" s="409"/>
      <c r="F247" s="409"/>
      <c r="G247" s="409"/>
      <c r="H247" s="409"/>
      <c r="I247" s="409"/>
      <c r="J247" s="409"/>
      <c r="K247" s="409"/>
      <c r="L247" s="409"/>
      <c r="M247" s="409"/>
      <c r="N247" s="409"/>
      <c r="O247" s="409"/>
      <c r="P247" s="409"/>
      <c r="Q247" s="409"/>
      <c r="R247" s="409"/>
      <c r="S247" s="409"/>
      <c r="T247" s="409"/>
      <c r="U247" s="409"/>
      <c r="V247" s="409"/>
      <c r="W247" s="409"/>
      <c r="X247" s="409"/>
      <c r="Y247" s="409"/>
      <c r="Z247" s="409"/>
    </row>
    <row r="248" spans="1:26" ht="15.75" customHeight="1" x14ac:dyDescent="0.3">
      <c r="A248" s="409"/>
      <c r="B248" s="409"/>
      <c r="C248" s="409"/>
      <c r="D248" s="409"/>
      <c r="E248" s="409"/>
      <c r="F248" s="409"/>
      <c r="G248" s="409"/>
      <c r="H248" s="409"/>
      <c r="I248" s="409"/>
      <c r="J248" s="409"/>
      <c r="K248" s="409"/>
      <c r="L248" s="409"/>
      <c r="M248" s="409"/>
      <c r="N248" s="409"/>
      <c r="O248" s="409"/>
      <c r="P248" s="409"/>
      <c r="Q248" s="409"/>
      <c r="R248" s="409"/>
      <c r="S248" s="409"/>
      <c r="T248" s="409"/>
      <c r="U248" s="409"/>
      <c r="V248" s="409"/>
      <c r="W248" s="409"/>
      <c r="X248" s="409"/>
      <c r="Y248" s="409"/>
      <c r="Z248" s="409"/>
    </row>
    <row r="249" spans="1:26" ht="15.75" customHeight="1" x14ac:dyDescent="0.3">
      <c r="A249" s="409"/>
      <c r="B249" s="409"/>
      <c r="C249" s="409"/>
      <c r="D249" s="409"/>
      <c r="E249" s="409"/>
      <c r="F249" s="409"/>
      <c r="G249" s="409"/>
      <c r="H249" s="409"/>
      <c r="I249" s="409"/>
      <c r="J249" s="409"/>
      <c r="K249" s="409"/>
      <c r="L249" s="409"/>
      <c r="M249" s="409"/>
      <c r="N249" s="409"/>
      <c r="O249" s="409"/>
      <c r="P249" s="409"/>
      <c r="Q249" s="409"/>
      <c r="R249" s="409"/>
      <c r="S249" s="409"/>
      <c r="T249" s="409"/>
      <c r="U249" s="409"/>
      <c r="V249" s="409"/>
      <c r="W249" s="409"/>
      <c r="X249" s="409"/>
      <c r="Y249" s="409"/>
      <c r="Z249" s="409"/>
    </row>
    <row r="250" spans="1:26" ht="15.75" customHeight="1" x14ac:dyDescent="0.3">
      <c r="A250" s="409"/>
      <c r="B250" s="409"/>
      <c r="C250" s="409"/>
      <c r="D250" s="409"/>
      <c r="E250" s="409"/>
      <c r="F250" s="409"/>
      <c r="G250" s="409"/>
      <c r="H250" s="409"/>
      <c r="I250" s="409"/>
      <c r="J250" s="409"/>
      <c r="K250" s="409"/>
      <c r="L250" s="409"/>
      <c r="M250" s="409"/>
      <c r="N250" s="409"/>
      <c r="O250" s="409"/>
      <c r="P250" s="409"/>
      <c r="Q250" s="409"/>
      <c r="R250" s="409"/>
      <c r="S250" s="409"/>
      <c r="T250" s="409"/>
      <c r="U250" s="409"/>
      <c r="V250" s="409"/>
      <c r="W250" s="409"/>
      <c r="X250" s="409"/>
      <c r="Y250" s="409"/>
      <c r="Z250" s="409"/>
    </row>
    <row r="251" spans="1:26" ht="15.75" customHeight="1" x14ac:dyDescent="0.3">
      <c r="A251" s="409"/>
      <c r="B251" s="409"/>
      <c r="C251" s="409"/>
      <c r="D251" s="409"/>
      <c r="E251" s="409"/>
      <c r="F251" s="409"/>
      <c r="G251" s="409"/>
      <c r="H251" s="409"/>
      <c r="I251" s="409"/>
      <c r="J251" s="409"/>
      <c r="K251" s="409"/>
      <c r="L251" s="409"/>
      <c r="M251" s="409"/>
      <c r="N251" s="409"/>
      <c r="O251" s="409"/>
      <c r="P251" s="409"/>
      <c r="Q251" s="409"/>
      <c r="R251" s="409"/>
      <c r="S251" s="409"/>
      <c r="T251" s="409"/>
      <c r="U251" s="409"/>
      <c r="V251" s="409"/>
      <c r="W251" s="409"/>
      <c r="X251" s="409"/>
      <c r="Y251" s="409"/>
      <c r="Z251" s="409"/>
    </row>
    <row r="252" spans="1:26" ht="15.75" customHeight="1" x14ac:dyDescent="0.3">
      <c r="A252" s="409"/>
      <c r="B252" s="409"/>
      <c r="C252" s="409"/>
      <c r="D252" s="409"/>
      <c r="E252" s="409"/>
      <c r="F252" s="409"/>
      <c r="G252" s="409"/>
      <c r="H252" s="409"/>
      <c r="I252" s="409"/>
      <c r="J252" s="409"/>
      <c r="K252" s="409"/>
      <c r="L252" s="409"/>
      <c r="M252" s="409"/>
      <c r="N252" s="409"/>
      <c r="O252" s="409"/>
      <c r="P252" s="409"/>
      <c r="Q252" s="409"/>
      <c r="R252" s="409"/>
      <c r="S252" s="409"/>
      <c r="T252" s="409"/>
      <c r="U252" s="409"/>
      <c r="V252" s="409"/>
      <c r="W252" s="409"/>
      <c r="X252" s="409"/>
      <c r="Y252" s="409"/>
      <c r="Z252" s="409"/>
    </row>
    <row r="253" spans="1:26" ht="15.75" customHeight="1" x14ac:dyDescent="0.3">
      <c r="A253" s="409"/>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row>
    <row r="254" spans="1:26" ht="15.75" customHeight="1" x14ac:dyDescent="0.3">
      <c r="A254" s="409"/>
      <c r="B254" s="409"/>
      <c r="C254" s="409"/>
      <c r="D254" s="409"/>
      <c r="E254" s="409"/>
      <c r="F254" s="409"/>
      <c r="G254" s="409"/>
      <c r="H254" s="409"/>
      <c r="I254" s="409"/>
      <c r="J254" s="409"/>
      <c r="K254" s="409"/>
      <c r="L254" s="409"/>
      <c r="M254" s="409"/>
      <c r="N254" s="409"/>
      <c r="O254" s="409"/>
      <c r="P254" s="409"/>
      <c r="Q254" s="409"/>
      <c r="R254" s="409"/>
      <c r="S254" s="409"/>
      <c r="T254" s="409"/>
      <c r="U254" s="409"/>
      <c r="V254" s="409"/>
      <c r="W254" s="409"/>
      <c r="X254" s="409"/>
      <c r="Y254" s="409"/>
      <c r="Z254" s="409"/>
    </row>
    <row r="255" spans="1:26" ht="15.75" customHeight="1" x14ac:dyDescent="0.3">
      <c r="A255" s="409"/>
      <c r="B255" s="409"/>
      <c r="C255" s="409"/>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row>
    <row r="256" spans="1:26" ht="15.75" customHeight="1" x14ac:dyDescent="0.3">
      <c r="A256" s="409"/>
      <c r="B256" s="409"/>
      <c r="C256" s="409"/>
      <c r="D256" s="409"/>
      <c r="E256" s="409"/>
      <c r="F256" s="409"/>
      <c r="G256" s="409"/>
      <c r="H256" s="409"/>
      <c r="I256" s="409"/>
      <c r="J256" s="409"/>
      <c r="K256" s="409"/>
      <c r="L256" s="409"/>
      <c r="M256" s="409"/>
      <c r="N256" s="409"/>
      <c r="O256" s="409"/>
      <c r="P256" s="409"/>
      <c r="Q256" s="409"/>
      <c r="R256" s="409"/>
      <c r="S256" s="409"/>
      <c r="T256" s="409"/>
      <c r="U256" s="409"/>
      <c r="V256" s="409"/>
      <c r="W256" s="409"/>
      <c r="X256" s="409"/>
      <c r="Y256" s="409"/>
      <c r="Z256" s="409"/>
    </row>
    <row r="257" spans="1:26" ht="15.75" customHeight="1" x14ac:dyDescent="0.3">
      <c r="A257" s="409"/>
      <c r="B257" s="409"/>
      <c r="C257" s="409"/>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row>
    <row r="258" spans="1:26" ht="15.75" customHeight="1" x14ac:dyDescent="0.3">
      <c r="A258" s="409"/>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row>
    <row r="259" spans="1:26" ht="15.75" customHeight="1" x14ac:dyDescent="0.3">
      <c r="A259" s="409"/>
      <c r="B259" s="409"/>
      <c r="C259" s="409"/>
      <c r="D259" s="409"/>
      <c r="E259" s="409"/>
      <c r="F259" s="409"/>
      <c r="G259" s="409"/>
      <c r="H259" s="409"/>
      <c r="I259" s="409"/>
      <c r="J259" s="409"/>
      <c r="K259" s="409"/>
      <c r="L259" s="409"/>
      <c r="M259" s="409"/>
      <c r="N259" s="409"/>
      <c r="O259" s="409"/>
      <c r="P259" s="409"/>
      <c r="Q259" s="409"/>
      <c r="R259" s="409"/>
      <c r="S259" s="409"/>
      <c r="T259" s="409"/>
      <c r="U259" s="409"/>
      <c r="V259" s="409"/>
      <c r="W259" s="409"/>
      <c r="X259" s="409"/>
      <c r="Y259" s="409"/>
      <c r="Z259" s="409"/>
    </row>
    <row r="260" spans="1:26" ht="15.75" customHeight="1" x14ac:dyDescent="0.3">
      <c r="A260" s="409"/>
      <c r="B260" s="409"/>
      <c r="C260" s="409"/>
      <c r="D260" s="409"/>
      <c r="E260" s="409"/>
      <c r="F260" s="409"/>
      <c r="G260" s="409"/>
      <c r="H260" s="409"/>
      <c r="I260" s="409"/>
      <c r="J260" s="409"/>
      <c r="K260" s="409"/>
      <c r="L260" s="409"/>
      <c r="M260" s="409"/>
      <c r="N260" s="409"/>
      <c r="O260" s="409"/>
      <c r="P260" s="409"/>
      <c r="Q260" s="409"/>
      <c r="R260" s="409"/>
      <c r="S260" s="409"/>
      <c r="T260" s="409"/>
      <c r="U260" s="409"/>
      <c r="V260" s="409"/>
      <c r="W260" s="409"/>
      <c r="X260" s="409"/>
      <c r="Y260" s="409"/>
      <c r="Z260" s="409"/>
    </row>
    <row r="261" spans="1:26" ht="15.75" customHeight="1" x14ac:dyDescent="0.3">
      <c r="A261" s="409"/>
      <c r="B261" s="409"/>
      <c r="C261" s="409"/>
      <c r="D261" s="409"/>
      <c r="E261" s="409"/>
      <c r="F261" s="409"/>
      <c r="G261" s="409"/>
      <c r="H261" s="409"/>
      <c r="I261" s="409"/>
      <c r="J261" s="409"/>
      <c r="K261" s="409"/>
      <c r="L261" s="409"/>
      <c r="M261" s="409"/>
      <c r="N261" s="409"/>
      <c r="O261" s="409"/>
      <c r="P261" s="409"/>
      <c r="Q261" s="409"/>
      <c r="R261" s="409"/>
      <c r="S261" s="409"/>
      <c r="T261" s="409"/>
      <c r="U261" s="409"/>
      <c r="V261" s="409"/>
      <c r="W261" s="409"/>
      <c r="X261" s="409"/>
      <c r="Y261" s="409"/>
      <c r="Z261" s="409"/>
    </row>
    <row r="262" spans="1:26" ht="15.75" customHeight="1" x14ac:dyDescent="0.3">
      <c r="A262" s="409"/>
      <c r="B262" s="409"/>
      <c r="C262" s="409"/>
      <c r="D262" s="409"/>
      <c r="E262" s="409"/>
      <c r="F262" s="409"/>
      <c r="G262" s="409"/>
      <c r="H262" s="409"/>
      <c r="I262" s="409"/>
      <c r="J262" s="409"/>
      <c r="K262" s="409"/>
      <c r="L262" s="409"/>
      <c r="M262" s="409"/>
      <c r="N262" s="409"/>
      <c r="O262" s="409"/>
      <c r="P262" s="409"/>
      <c r="Q262" s="409"/>
      <c r="R262" s="409"/>
      <c r="S262" s="409"/>
      <c r="T262" s="409"/>
      <c r="U262" s="409"/>
      <c r="V262" s="409"/>
      <c r="W262" s="409"/>
      <c r="X262" s="409"/>
      <c r="Y262" s="409"/>
      <c r="Z262" s="409"/>
    </row>
    <row r="263" spans="1:26" ht="15.75" customHeight="1" x14ac:dyDescent="0.3">
      <c r="A263" s="409"/>
      <c r="B263" s="409"/>
      <c r="C263" s="409"/>
      <c r="D263" s="409"/>
      <c r="E263" s="409"/>
      <c r="F263" s="409"/>
      <c r="G263" s="409"/>
      <c r="H263" s="409"/>
      <c r="I263" s="409"/>
      <c r="J263" s="409"/>
      <c r="K263" s="409"/>
      <c r="L263" s="409"/>
      <c r="M263" s="409"/>
      <c r="N263" s="409"/>
      <c r="O263" s="409"/>
      <c r="P263" s="409"/>
      <c r="Q263" s="409"/>
      <c r="R263" s="409"/>
      <c r="S263" s="409"/>
      <c r="T263" s="409"/>
      <c r="U263" s="409"/>
      <c r="V263" s="409"/>
      <c r="W263" s="409"/>
      <c r="X263" s="409"/>
      <c r="Y263" s="409"/>
      <c r="Z263" s="409"/>
    </row>
    <row r="264" spans="1:26" ht="15.75" customHeight="1" x14ac:dyDescent="0.3">
      <c r="A264" s="409"/>
      <c r="B264" s="409"/>
      <c r="C264" s="409"/>
      <c r="D264" s="409"/>
      <c r="E264" s="409"/>
      <c r="F264" s="409"/>
      <c r="G264" s="409"/>
      <c r="H264" s="409"/>
      <c r="I264" s="409"/>
      <c r="J264" s="409"/>
      <c r="K264" s="409"/>
      <c r="L264" s="409"/>
      <c r="M264" s="409"/>
      <c r="N264" s="409"/>
      <c r="O264" s="409"/>
      <c r="P264" s="409"/>
      <c r="Q264" s="409"/>
      <c r="R264" s="409"/>
      <c r="S264" s="409"/>
      <c r="T264" s="409"/>
      <c r="U264" s="409"/>
      <c r="V264" s="409"/>
      <c r="W264" s="409"/>
      <c r="X264" s="409"/>
      <c r="Y264" s="409"/>
      <c r="Z264" s="409"/>
    </row>
    <row r="265" spans="1:26" ht="15.75" customHeight="1" x14ac:dyDescent="0.3">
      <c r="A265" s="409"/>
      <c r="B265" s="409"/>
      <c r="C265" s="409"/>
      <c r="D265" s="409"/>
      <c r="E265" s="409"/>
      <c r="F265" s="409"/>
      <c r="G265" s="409"/>
      <c r="H265" s="409"/>
      <c r="I265" s="409"/>
      <c r="J265" s="409"/>
      <c r="K265" s="409"/>
      <c r="L265" s="409"/>
      <c r="M265" s="409"/>
      <c r="N265" s="409"/>
      <c r="O265" s="409"/>
      <c r="P265" s="409"/>
      <c r="Q265" s="409"/>
      <c r="R265" s="409"/>
      <c r="S265" s="409"/>
      <c r="T265" s="409"/>
      <c r="U265" s="409"/>
      <c r="V265" s="409"/>
      <c r="W265" s="409"/>
      <c r="X265" s="409"/>
      <c r="Y265" s="409"/>
      <c r="Z265" s="409"/>
    </row>
    <row r="266" spans="1:26" ht="15.75" customHeight="1" x14ac:dyDescent="0.3">
      <c r="A266" s="409"/>
      <c r="B266" s="409"/>
      <c r="C266" s="409"/>
      <c r="D266" s="409"/>
      <c r="E266" s="409"/>
      <c r="F266" s="409"/>
      <c r="G266" s="409"/>
      <c r="H266" s="409"/>
      <c r="I266" s="409"/>
      <c r="J266" s="409"/>
      <c r="K266" s="409"/>
      <c r="L266" s="409"/>
      <c r="M266" s="409"/>
      <c r="N266" s="409"/>
      <c r="O266" s="409"/>
      <c r="P266" s="409"/>
      <c r="Q266" s="409"/>
      <c r="R266" s="409"/>
      <c r="S266" s="409"/>
      <c r="T266" s="409"/>
      <c r="U266" s="409"/>
      <c r="V266" s="409"/>
      <c r="W266" s="409"/>
      <c r="X266" s="409"/>
      <c r="Y266" s="409"/>
      <c r="Z266" s="409"/>
    </row>
    <row r="267" spans="1:26" ht="15.75" customHeight="1" x14ac:dyDescent="0.3">
      <c r="A267" s="409"/>
      <c r="B267" s="409"/>
      <c r="C267" s="409"/>
      <c r="D267" s="409"/>
      <c r="E267" s="409"/>
      <c r="F267" s="409"/>
      <c r="G267" s="409"/>
      <c r="H267" s="409"/>
      <c r="I267" s="409"/>
      <c r="J267" s="409"/>
      <c r="K267" s="409"/>
      <c r="L267" s="409"/>
      <c r="M267" s="409"/>
      <c r="N267" s="409"/>
      <c r="O267" s="409"/>
      <c r="P267" s="409"/>
      <c r="Q267" s="409"/>
      <c r="R267" s="409"/>
      <c r="S267" s="409"/>
      <c r="T267" s="409"/>
      <c r="U267" s="409"/>
      <c r="V267" s="409"/>
      <c r="W267" s="409"/>
      <c r="X267" s="409"/>
      <c r="Y267" s="409"/>
      <c r="Z267" s="409"/>
    </row>
    <row r="268" spans="1:26" ht="15.75" customHeight="1" x14ac:dyDescent="0.3">
      <c r="A268" s="409"/>
      <c r="B268" s="409"/>
      <c r="C268" s="409"/>
      <c r="D268" s="409"/>
      <c r="E268" s="409"/>
      <c r="F268" s="409"/>
      <c r="G268" s="409"/>
      <c r="H268" s="409"/>
      <c r="I268" s="409"/>
      <c r="J268" s="409"/>
      <c r="K268" s="409"/>
      <c r="L268" s="409"/>
      <c r="M268" s="409"/>
      <c r="N268" s="409"/>
      <c r="O268" s="409"/>
      <c r="P268" s="409"/>
      <c r="Q268" s="409"/>
      <c r="R268" s="409"/>
      <c r="S268" s="409"/>
      <c r="T268" s="409"/>
      <c r="U268" s="409"/>
      <c r="V268" s="409"/>
      <c r="W268" s="409"/>
      <c r="X268" s="409"/>
      <c r="Y268" s="409"/>
      <c r="Z268" s="409"/>
    </row>
    <row r="269" spans="1:26" ht="15.75" customHeight="1" x14ac:dyDescent="0.3">
      <c r="A269" s="409"/>
      <c r="B269" s="409"/>
      <c r="C269" s="409"/>
      <c r="D269" s="409"/>
      <c r="E269" s="409"/>
      <c r="F269" s="409"/>
      <c r="G269" s="409"/>
      <c r="H269" s="409"/>
      <c r="I269" s="409"/>
      <c r="J269" s="409"/>
      <c r="K269" s="409"/>
      <c r="L269" s="409"/>
      <c r="M269" s="409"/>
      <c r="N269" s="409"/>
      <c r="O269" s="409"/>
      <c r="P269" s="409"/>
      <c r="Q269" s="409"/>
      <c r="R269" s="409"/>
      <c r="S269" s="409"/>
      <c r="T269" s="409"/>
      <c r="U269" s="409"/>
      <c r="V269" s="409"/>
      <c r="W269" s="409"/>
      <c r="X269" s="409"/>
      <c r="Y269" s="409"/>
      <c r="Z269" s="409"/>
    </row>
    <row r="270" spans="1:26" ht="15.75" customHeight="1" x14ac:dyDescent="0.3">
      <c r="A270" s="409"/>
      <c r="B270" s="409"/>
      <c r="C270" s="409"/>
      <c r="D270" s="409"/>
      <c r="E270" s="409"/>
      <c r="F270" s="409"/>
      <c r="G270" s="409"/>
      <c r="H270" s="409"/>
      <c r="I270" s="409"/>
      <c r="J270" s="409"/>
      <c r="K270" s="409"/>
      <c r="L270" s="409"/>
      <c r="M270" s="409"/>
      <c r="N270" s="409"/>
      <c r="O270" s="409"/>
      <c r="P270" s="409"/>
      <c r="Q270" s="409"/>
      <c r="R270" s="409"/>
      <c r="S270" s="409"/>
      <c r="T270" s="409"/>
      <c r="U270" s="409"/>
      <c r="V270" s="409"/>
      <c r="W270" s="409"/>
      <c r="X270" s="409"/>
      <c r="Y270" s="409"/>
      <c r="Z270" s="409"/>
    </row>
    <row r="271" spans="1:26" ht="15.75" customHeight="1" x14ac:dyDescent="0.3">
      <c r="A271" s="409"/>
      <c r="B271" s="409"/>
      <c r="C271" s="409"/>
      <c r="D271" s="409"/>
      <c r="E271" s="409"/>
      <c r="F271" s="409"/>
      <c r="G271" s="409"/>
      <c r="H271" s="409"/>
      <c r="I271" s="409"/>
      <c r="J271" s="409"/>
      <c r="K271" s="409"/>
      <c r="L271" s="409"/>
      <c r="M271" s="409"/>
      <c r="N271" s="409"/>
      <c r="O271" s="409"/>
      <c r="P271" s="409"/>
      <c r="Q271" s="409"/>
      <c r="R271" s="409"/>
      <c r="S271" s="409"/>
      <c r="T271" s="409"/>
      <c r="U271" s="409"/>
      <c r="V271" s="409"/>
      <c r="W271" s="409"/>
      <c r="X271" s="409"/>
      <c r="Y271" s="409"/>
      <c r="Z271" s="409"/>
    </row>
    <row r="272" spans="1:26" ht="15.75" customHeight="1" x14ac:dyDescent="0.3">
      <c r="A272" s="409"/>
      <c r="B272" s="409"/>
      <c r="C272" s="409"/>
      <c r="D272" s="409"/>
      <c r="E272" s="409"/>
      <c r="F272" s="409"/>
      <c r="G272" s="409"/>
      <c r="H272" s="409"/>
      <c r="I272" s="409"/>
      <c r="J272" s="409"/>
      <c r="K272" s="409"/>
      <c r="L272" s="409"/>
      <c r="M272" s="409"/>
      <c r="N272" s="409"/>
      <c r="O272" s="409"/>
      <c r="P272" s="409"/>
      <c r="Q272" s="409"/>
      <c r="R272" s="409"/>
      <c r="S272" s="409"/>
      <c r="T272" s="409"/>
      <c r="U272" s="409"/>
      <c r="V272" s="409"/>
      <c r="W272" s="409"/>
      <c r="X272" s="409"/>
      <c r="Y272" s="409"/>
      <c r="Z272" s="409"/>
    </row>
    <row r="273" spans="1:26" ht="15.75" customHeight="1" x14ac:dyDescent="0.3">
      <c r="A273" s="409"/>
      <c r="B273" s="409"/>
      <c r="C273" s="409"/>
      <c r="D273" s="409"/>
      <c r="E273" s="409"/>
      <c r="F273" s="409"/>
      <c r="G273" s="409"/>
      <c r="H273" s="409"/>
      <c r="I273" s="409"/>
      <c r="J273" s="409"/>
      <c r="K273" s="409"/>
      <c r="L273" s="409"/>
      <c r="M273" s="409"/>
      <c r="N273" s="409"/>
      <c r="O273" s="409"/>
      <c r="P273" s="409"/>
      <c r="Q273" s="409"/>
      <c r="R273" s="409"/>
      <c r="S273" s="409"/>
      <c r="T273" s="409"/>
      <c r="U273" s="409"/>
      <c r="V273" s="409"/>
      <c r="W273" s="409"/>
      <c r="X273" s="409"/>
      <c r="Y273" s="409"/>
      <c r="Z273" s="409"/>
    </row>
    <row r="274" spans="1:26" ht="15.75" customHeight="1" x14ac:dyDescent="0.3">
      <c r="A274" s="409"/>
      <c r="B274" s="409"/>
      <c r="C274" s="409"/>
      <c r="D274" s="409"/>
      <c r="E274" s="409"/>
      <c r="F274" s="409"/>
      <c r="G274" s="409"/>
      <c r="H274" s="409"/>
      <c r="I274" s="409"/>
      <c r="J274" s="409"/>
      <c r="K274" s="409"/>
      <c r="L274" s="409"/>
      <c r="M274" s="409"/>
      <c r="N274" s="409"/>
      <c r="O274" s="409"/>
      <c r="P274" s="409"/>
      <c r="Q274" s="409"/>
      <c r="R274" s="409"/>
      <c r="S274" s="409"/>
      <c r="T274" s="409"/>
      <c r="U274" s="409"/>
      <c r="V274" s="409"/>
      <c r="W274" s="409"/>
      <c r="X274" s="409"/>
      <c r="Y274" s="409"/>
      <c r="Z274" s="409"/>
    </row>
    <row r="275" spans="1:26" ht="15.75" customHeight="1" x14ac:dyDescent="0.3">
      <c r="A275" s="409"/>
      <c r="B275" s="409"/>
      <c r="C275" s="409"/>
      <c r="D275" s="409"/>
      <c r="E275" s="409"/>
      <c r="F275" s="409"/>
      <c r="G275" s="409"/>
      <c r="H275" s="409"/>
      <c r="I275" s="409"/>
      <c r="J275" s="409"/>
      <c r="K275" s="409"/>
      <c r="L275" s="409"/>
      <c r="M275" s="409"/>
      <c r="N275" s="409"/>
      <c r="O275" s="409"/>
      <c r="P275" s="409"/>
      <c r="Q275" s="409"/>
      <c r="R275" s="409"/>
      <c r="S275" s="409"/>
      <c r="T275" s="409"/>
      <c r="U275" s="409"/>
      <c r="V275" s="409"/>
      <c r="W275" s="409"/>
      <c r="X275" s="409"/>
      <c r="Y275" s="409"/>
      <c r="Z275" s="409"/>
    </row>
    <row r="276" spans="1:26" ht="15.75" customHeight="1" x14ac:dyDescent="0.3">
      <c r="A276" s="409"/>
      <c r="B276" s="409"/>
      <c r="C276" s="409"/>
      <c r="D276" s="409"/>
      <c r="E276" s="409"/>
      <c r="F276" s="409"/>
      <c r="G276" s="409"/>
      <c r="H276" s="409"/>
      <c r="I276" s="409"/>
      <c r="J276" s="409"/>
      <c r="K276" s="409"/>
      <c r="L276" s="409"/>
      <c r="M276" s="409"/>
      <c r="N276" s="409"/>
      <c r="O276" s="409"/>
      <c r="P276" s="409"/>
      <c r="Q276" s="409"/>
      <c r="R276" s="409"/>
      <c r="S276" s="409"/>
      <c r="T276" s="409"/>
      <c r="U276" s="409"/>
      <c r="V276" s="409"/>
      <c r="W276" s="409"/>
      <c r="X276" s="409"/>
      <c r="Y276" s="409"/>
      <c r="Z276" s="409"/>
    </row>
    <row r="277" spans="1:26" ht="15.75" customHeight="1" x14ac:dyDescent="0.3">
      <c r="A277" s="409"/>
      <c r="B277" s="409"/>
      <c r="C277" s="409"/>
      <c r="D277" s="409"/>
      <c r="E277" s="409"/>
      <c r="F277" s="409"/>
      <c r="G277" s="409"/>
      <c r="H277" s="409"/>
      <c r="I277" s="409"/>
      <c r="J277" s="409"/>
      <c r="K277" s="409"/>
      <c r="L277" s="409"/>
      <c r="M277" s="409"/>
      <c r="N277" s="409"/>
      <c r="O277" s="409"/>
      <c r="P277" s="409"/>
      <c r="Q277" s="409"/>
      <c r="R277" s="409"/>
      <c r="S277" s="409"/>
      <c r="T277" s="409"/>
      <c r="U277" s="409"/>
      <c r="V277" s="409"/>
      <c r="W277" s="409"/>
      <c r="X277" s="409"/>
      <c r="Y277" s="409"/>
      <c r="Z277" s="409"/>
    </row>
    <row r="278" spans="1:26" ht="15.75" customHeight="1" x14ac:dyDescent="0.3">
      <c r="A278" s="409"/>
      <c r="B278" s="409"/>
      <c r="C278" s="409"/>
      <c r="D278" s="409"/>
      <c r="E278" s="409"/>
      <c r="F278" s="409"/>
      <c r="G278" s="409"/>
      <c r="H278" s="409"/>
      <c r="I278" s="409"/>
      <c r="J278" s="409"/>
      <c r="K278" s="409"/>
      <c r="L278" s="409"/>
      <c r="M278" s="409"/>
      <c r="N278" s="409"/>
      <c r="O278" s="409"/>
      <c r="P278" s="409"/>
      <c r="Q278" s="409"/>
      <c r="R278" s="409"/>
      <c r="S278" s="409"/>
      <c r="T278" s="409"/>
      <c r="U278" s="409"/>
      <c r="V278" s="409"/>
      <c r="W278" s="409"/>
      <c r="X278" s="409"/>
      <c r="Y278" s="409"/>
      <c r="Z278" s="409"/>
    </row>
    <row r="279" spans="1:26" ht="15.75" customHeight="1" x14ac:dyDescent="0.3">
      <c r="A279" s="409"/>
      <c r="B279" s="409"/>
      <c r="C279" s="409"/>
      <c r="D279" s="409"/>
      <c r="E279" s="409"/>
      <c r="F279" s="409"/>
      <c r="G279" s="409"/>
      <c r="H279" s="409"/>
      <c r="I279" s="409"/>
      <c r="J279" s="409"/>
      <c r="K279" s="409"/>
      <c r="L279" s="409"/>
      <c r="M279" s="409"/>
      <c r="N279" s="409"/>
      <c r="O279" s="409"/>
      <c r="P279" s="409"/>
      <c r="Q279" s="409"/>
      <c r="R279" s="409"/>
      <c r="S279" s="409"/>
      <c r="T279" s="409"/>
      <c r="U279" s="409"/>
      <c r="V279" s="409"/>
      <c r="W279" s="409"/>
      <c r="X279" s="409"/>
      <c r="Y279" s="409"/>
      <c r="Z279" s="409"/>
    </row>
    <row r="280" spans="1:26" ht="15.75" customHeight="1" x14ac:dyDescent="0.3">
      <c r="A280" s="409"/>
      <c r="B280" s="409"/>
      <c r="C280" s="409"/>
      <c r="D280" s="409"/>
      <c r="E280" s="409"/>
      <c r="F280" s="409"/>
      <c r="G280" s="409"/>
      <c r="H280" s="409"/>
      <c r="I280" s="409"/>
      <c r="J280" s="409"/>
      <c r="K280" s="409"/>
      <c r="L280" s="409"/>
      <c r="M280" s="409"/>
      <c r="N280" s="409"/>
      <c r="O280" s="409"/>
      <c r="P280" s="409"/>
      <c r="Q280" s="409"/>
      <c r="R280" s="409"/>
      <c r="S280" s="409"/>
      <c r="T280" s="409"/>
      <c r="U280" s="409"/>
      <c r="V280" s="409"/>
      <c r="W280" s="409"/>
      <c r="X280" s="409"/>
      <c r="Y280" s="409"/>
      <c r="Z280" s="409"/>
    </row>
    <row r="281" spans="1:26" ht="15.75" customHeight="1" x14ac:dyDescent="0.3">
      <c r="A281" s="409"/>
      <c r="B281" s="409"/>
      <c r="C281" s="409"/>
      <c r="D281" s="409"/>
      <c r="E281" s="409"/>
      <c r="F281" s="409"/>
      <c r="G281" s="409"/>
      <c r="H281" s="409"/>
      <c r="I281" s="409"/>
      <c r="J281" s="409"/>
      <c r="K281" s="409"/>
      <c r="L281" s="409"/>
      <c r="M281" s="409"/>
      <c r="N281" s="409"/>
      <c r="O281" s="409"/>
      <c r="P281" s="409"/>
      <c r="Q281" s="409"/>
      <c r="R281" s="409"/>
      <c r="S281" s="409"/>
      <c r="T281" s="409"/>
      <c r="U281" s="409"/>
      <c r="V281" s="409"/>
      <c r="W281" s="409"/>
      <c r="X281" s="409"/>
      <c r="Y281" s="409"/>
      <c r="Z281" s="409"/>
    </row>
    <row r="282" spans="1:26" ht="15.75" customHeight="1" x14ac:dyDescent="0.3">
      <c r="A282" s="409"/>
      <c r="B282" s="409"/>
      <c r="C282" s="409"/>
      <c r="D282" s="409"/>
      <c r="E282" s="409"/>
      <c r="F282" s="409"/>
      <c r="G282" s="409"/>
      <c r="H282" s="409"/>
      <c r="I282" s="409"/>
      <c r="J282" s="409"/>
      <c r="K282" s="409"/>
      <c r="L282" s="409"/>
      <c r="M282" s="409"/>
      <c r="N282" s="409"/>
      <c r="O282" s="409"/>
      <c r="P282" s="409"/>
      <c r="Q282" s="409"/>
      <c r="R282" s="409"/>
      <c r="S282" s="409"/>
      <c r="T282" s="409"/>
      <c r="U282" s="409"/>
      <c r="V282" s="409"/>
      <c r="W282" s="409"/>
      <c r="X282" s="409"/>
      <c r="Y282" s="409"/>
      <c r="Z282" s="409"/>
    </row>
    <row r="283" spans="1:26" ht="15.75" customHeight="1" x14ac:dyDescent="0.3">
      <c r="A283" s="409"/>
      <c r="B283" s="409"/>
      <c r="C283" s="409"/>
      <c r="D283" s="409"/>
      <c r="E283" s="409"/>
      <c r="F283" s="409"/>
      <c r="G283" s="409"/>
      <c r="H283" s="409"/>
      <c r="I283" s="409"/>
      <c r="J283" s="409"/>
      <c r="K283" s="409"/>
      <c r="L283" s="409"/>
      <c r="M283" s="409"/>
      <c r="N283" s="409"/>
      <c r="O283" s="409"/>
      <c r="P283" s="409"/>
      <c r="Q283" s="409"/>
      <c r="R283" s="409"/>
      <c r="S283" s="409"/>
      <c r="T283" s="409"/>
      <c r="U283" s="409"/>
      <c r="V283" s="409"/>
      <c r="W283" s="409"/>
      <c r="X283" s="409"/>
      <c r="Y283" s="409"/>
      <c r="Z283" s="409"/>
    </row>
    <row r="284" spans="1:26" ht="15.75" customHeight="1" x14ac:dyDescent="0.3">
      <c r="A284" s="409"/>
      <c r="B284" s="409"/>
      <c r="C284" s="409"/>
      <c r="D284" s="409"/>
      <c r="E284" s="409"/>
      <c r="F284" s="409"/>
      <c r="G284" s="409"/>
      <c r="H284" s="409"/>
      <c r="I284" s="409"/>
      <c r="J284" s="409"/>
      <c r="K284" s="409"/>
      <c r="L284" s="409"/>
      <c r="M284" s="409"/>
      <c r="N284" s="409"/>
      <c r="O284" s="409"/>
      <c r="P284" s="409"/>
      <c r="Q284" s="409"/>
      <c r="R284" s="409"/>
      <c r="S284" s="409"/>
      <c r="T284" s="409"/>
      <c r="U284" s="409"/>
      <c r="V284" s="409"/>
      <c r="W284" s="409"/>
      <c r="X284" s="409"/>
      <c r="Y284" s="409"/>
      <c r="Z284" s="409"/>
    </row>
    <row r="285" spans="1:26" ht="15.75" customHeight="1" x14ac:dyDescent="0.3">
      <c r="A285" s="409"/>
      <c r="B285" s="409"/>
      <c r="C285" s="409"/>
      <c r="D285" s="409"/>
      <c r="E285" s="409"/>
      <c r="F285" s="409"/>
      <c r="G285" s="409"/>
      <c r="H285" s="409"/>
      <c r="I285" s="409"/>
      <c r="J285" s="409"/>
      <c r="K285" s="409"/>
      <c r="L285" s="409"/>
      <c r="M285" s="409"/>
      <c r="N285" s="409"/>
      <c r="O285" s="409"/>
      <c r="P285" s="409"/>
      <c r="Q285" s="409"/>
      <c r="R285" s="409"/>
      <c r="S285" s="409"/>
      <c r="T285" s="409"/>
      <c r="U285" s="409"/>
      <c r="V285" s="409"/>
      <c r="W285" s="409"/>
      <c r="X285" s="409"/>
      <c r="Y285" s="409"/>
      <c r="Z285" s="409"/>
    </row>
    <row r="286" spans="1:26" ht="15.75" customHeight="1" x14ac:dyDescent="0.3">
      <c r="A286" s="409"/>
      <c r="B286" s="409"/>
      <c r="C286" s="409"/>
      <c r="D286" s="409"/>
      <c r="E286" s="409"/>
      <c r="F286" s="409"/>
      <c r="G286" s="409"/>
      <c r="H286" s="409"/>
      <c r="I286" s="409"/>
      <c r="J286" s="409"/>
      <c r="K286" s="409"/>
      <c r="L286" s="409"/>
      <c r="M286" s="409"/>
      <c r="N286" s="409"/>
      <c r="O286" s="409"/>
      <c r="P286" s="409"/>
      <c r="Q286" s="409"/>
      <c r="R286" s="409"/>
      <c r="S286" s="409"/>
      <c r="T286" s="409"/>
      <c r="U286" s="409"/>
      <c r="V286" s="409"/>
      <c r="W286" s="409"/>
      <c r="X286" s="409"/>
      <c r="Y286" s="409"/>
      <c r="Z286" s="409"/>
    </row>
    <row r="287" spans="1:26" ht="15.75" customHeight="1" x14ac:dyDescent="0.3">
      <c r="A287" s="409"/>
      <c r="B287" s="409"/>
      <c r="C287" s="409"/>
      <c r="D287" s="409"/>
      <c r="E287" s="409"/>
      <c r="F287" s="409"/>
      <c r="G287" s="409"/>
      <c r="H287" s="409"/>
      <c r="I287" s="409"/>
      <c r="J287" s="409"/>
      <c r="K287" s="409"/>
      <c r="L287" s="409"/>
      <c r="M287" s="409"/>
      <c r="N287" s="409"/>
      <c r="O287" s="409"/>
      <c r="P287" s="409"/>
      <c r="Q287" s="409"/>
      <c r="R287" s="409"/>
      <c r="S287" s="409"/>
      <c r="T287" s="409"/>
      <c r="U287" s="409"/>
      <c r="V287" s="409"/>
      <c r="W287" s="409"/>
      <c r="X287" s="409"/>
      <c r="Y287" s="409"/>
      <c r="Z287" s="409"/>
    </row>
    <row r="288" spans="1:26" ht="15.75" customHeight="1" x14ac:dyDescent="0.3">
      <c r="A288" s="409"/>
      <c r="B288" s="409"/>
      <c r="C288" s="409"/>
      <c r="D288" s="409"/>
      <c r="E288" s="409"/>
      <c r="F288" s="409"/>
      <c r="G288" s="409"/>
      <c r="H288" s="409"/>
      <c r="I288" s="409"/>
      <c r="J288" s="409"/>
      <c r="K288" s="409"/>
      <c r="L288" s="409"/>
      <c r="M288" s="409"/>
      <c r="N288" s="409"/>
      <c r="O288" s="409"/>
      <c r="P288" s="409"/>
      <c r="Q288" s="409"/>
      <c r="R288" s="409"/>
      <c r="S288" s="409"/>
      <c r="T288" s="409"/>
      <c r="U288" s="409"/>
      <c r="V288" s="409"/>
      <c r="W288" s="409"/>
      <c r="X288" s="409"/>
      <c r="Y288" s="409"/>
      <c r="Z288" s="409"/>
    </row>
    <row r="289" spans="1:26" ht="15.75" customHeight="1" x14ac:dyDescent="0.3">
      <c r="A289" s="409"/>
      <c r="B289" s="409"/>
      <c r="C289" s="409"/>
      <c r="D289" s="409"/>
      <c r="E289" s="409"/>
      <c r="F289" s="409"/>
      <c r="G289" s="409"/>
      <c r="H289" s="409"/>
      <c r="I289" s="409"/>
      <c r="J289" s="409"/>
      <c r="K289" s="409"/>
      <c r="L289" s="409"/>
      <c r="M289" s="409"/>
      <c r="N289" s="409"/>
      <c r="O289" s="409"/>
      <c r="P289" s="409"/>
      <c r="Q289" s="409"/>
      <c r="R289" s="409"/>
      <c r="S289" s="409"/>
      <c r="T289" s="409"/>
      <c r="U289" s="409"/>
      <c r="V289" s="409"/>
      <c r="W289" s="409"/>
      <c r="X289" s="409"/>
      <c r="Y289" s="409"/>
      <c r="Z289" s="409"/>
    </row>
    <row r="290" spans="1:26" ht="15.75" customHeight="1" x14ac:dyDescent="0.3">
      <c r="A290" s="409"/>
      <c r="B290" s="409"/>
      <c r="C290" s="409"/>
      <c r="D290" s="409"/>
      <c r="E290" s="409"/>
      <c r="F290" s="409"/>
      <c r="G290" s="409"/>
      <c r="H290" s="409"/>
      <c r="I290" s="409"/>
      <c r="J290" s="409"/>
      <c r="K290" s="409"/>
      <c r="L290" s="409"/>
      <c r="M290" s="409"/>
      <c r="N290" s="409"/>
      <c r="O290" s="409"/>
      <c r="P290" s="409"/>
      <c r="Q290" s="409"/>
      <c r="R290" s="409"/>
      <c r="S290" s="409"/>
      <c r="T290" s="409"/>
      <c r="U290" s="409"/>
      <c r="V290" s="409"/>
      <c r="W290" s="409"/>
      <c r="X290" s="409"/>
      <c r="Y290" s="409"/>
      <c r="Z290" s="409"/>
    </row>
    <row r="291" spans="1:26" ht="15.75" customHeight="1" x14ac:dyDescent="0.3">
      <c r="A291" s="409"/>
      <c r="B291" s="409"/>
      <c r="C291" s="409"/>
      <c r="D291" s="409"/>
      <c r="E291" s="409"/>
      <c r="F291" s="409"/>
      <c r="G291" s="409"/>
      <c r="H291" s="409"/>
      <c r="I291" s="409"/>
      <c r="J291" s="409"/>
      <c r="K291" s="409"/>
      <c r="L291" s="409"/>
      <c r="M291" s="409"/>
      <c r="N291" s="409"/>
      <c r="O291" s="409"/>
      <c r="P291" s="409"/>
      <c r="Q291" s="409"/>
      <c r="R291" s="409"/>
      <c r="S291" s="409"/>
      <c r="T291" s="409"/>
      <c r="U291" s="409"/>
      <c r="V291" s="409"/>
      <c r="W291" s="409"/>
      <c r="X291" s="409"/>
      <c r="Y291" s="409"/>
      <c r="Z291" s="409"/>
    </row>
    <row r="292" spans="1:26" ht="15.75" customHeight="1" x14ac:dyDescent="0.3">
      <c r="A292" s="409"/>
      <c r="B292" s="409"/>
      <c r="C292" s="409"/>
      <c r="D292" s="409"/>
      <c r="E292" s="409"/>
      <c r="F292" s="409"/>
      <c r="G292" s="409"/>
      <c r="H292" s="409"/>
      <c r="I292" s="409"/>
      <c r="J292" s="409"/>
      <c r="K292" s="409"/>
      <c r="L292" s="409"/>
      <c r="M292" s="409"/>
      <c r="N292" s="409"/>
      <c r="O292" s="409"/>
      <c r="P292" s="409"/>
      <c r="Q292" s="409"/>
      <c r="R292" s="409"/>
      <c r="S292" s="409"/>
      <c r="T292" s="409"/>
      <c r="U292" s="409"/>
      <c r="V292" s="409"/>
      <c r="W292" s="409"/>
      <c r="X292" s="409"/>
      <c r="Y292" s="409"/>
      <c r="Z292" s="409"/>
    </row>
    <row r="293" spans="1:26" ht="15.75" customHeight="1" x14ac:dyDescent="0.3">
      <c r="A293" s="409"/>
      <c r="B293" s="409"/>
      <c r="C293" s="409"/>
      <c r="D293" s="409"/>
      <c r="E293" s="409"/>
      <c r="F293" s="409"/>
      <c r="G293" s="409"/>
      <c r="H293" s="409"/>
      <c r="I293" s="409"/>
      <c r="J293" s="409"/>
      <c r="K293" s="409"/>
      <c r="L293" s="409"/>
      <c r="M293" s="409"/>
      <c r="N293" s="409"/>
      <c r="O293" s="409"/>
      <c r="P293" s="409"/>
      <c r="Q293" s="409"/>
      <c r="R293" s="409"/>
      <c r="S293" s="409"/>
      <c r="T293" s="409"/>
      <c r="U293" s="409"/>
      <c r="V293" s="409"/>
      <c r="W293" s="409"/>
      <c r="X293" s="409"/>
      <c r="Y293" s="409"/>
      <c r="Z293" s="409"/>
    </row>
    <row r="294" spans="1:26" ht="15.75" customHeight="1" x14ac:dyDescent="0.3">
      <c r="A294" s="409"/>
      <c r="B294" s="409"/>
      <c r="C294" s="409"/>
      <c r="D294" s="409"/>
      <c r="E294" s="409"/>
      <c r="F294" s="409"/>
      <c r="G294" s="409"/>
      <c r="H294" s="409"/>
      <c r="I294" s="409"/>
      <c r="J294" s="409"/>
      <c r="K294" s="409"/>
      <c r="L294" s="409"/>
      <c r="M294" s="409"/>
      <c r="N294" s="409"/>
      <c r="O294" s="409"/>
      <c r="P294" s="409"/>
      <c r="Q294" s="409"/>
      <c r="R294" s="409"/>
      <c r="S294" s="409"/>
      <c r="T294" s="409"/>
      <c r="U294" s="409"/>
      <c r="V294" s="409"/>
      <c r="W294" s="409"/>
      <c r="X294" s="409"/>
      <c r="Y294" s="409"/>
      <c r="Z294" s="409"/>
    </row>
    <row r="295" spans="1:26" ht="15.75" customHeight="1" x14ac:dyDescent="0.3">
      <c r="A295" s="409"/>
      <c r="B295" s="409"/>
      <c r="C295" s="409"/>
      <c r="D295" s="409"/>
      <c r="E295" s="409"/>
      <c r="F295" s="409"/>
      <c r="G295" s="409"/>
      <c r="H295" s="409"/>
      <c r="I295" s="409"/>
      <c r="J295" s="409"/>
      <c r="K295" s="409"/>
      <c r="L295" s="409"/>
      <c r="M295" s="409"/>
      <c r="N295" s="409"/>
      <c r="O295" s="409"/>
      <c r="P295" s="409"/>
      <c r="Q295" s="409"/>
      <c r="R295" s="409"/>
      <c r="S295" s="409"/>
      <c r="T295" s="409"/>
      <c r="U295" s="409"/>
      <c r="V295" s="409"/>
      <c r="W295" s="409"/>
      <c r="X295" s="409"/>
      <c r="Y295" s="409"/>
      <c r="Z295" s="409"/>
    </row>
    <row r="296" spans="1:26" ht="15.75" customHeight="1" x14ac:dyDescent="0.3">
      <c r="A296" s="409"/>
      <c r="B296" s="409"/>
      <c r="C296" s="409"/>
      <c r="D296" s="409"/>
      <c r="E296" s="409"/>
      <c r="F296" s="409"/>
      <c r="G296" s="409"/>
      <c r="H296" s="409"/>
      <c r="I296" s="409"/>
      <c r="J296" s="409"/>
      <c r="K296" s="409"/>
      <c r="L296" s="409"/>
      <c r="M296" s="409"/>
      <c r="N296" s="409"/>
      <c r="O296" s="409"/>
      <c r="P296" s="409"/>
      <c r="Q296" s="409"/>
      <c r="R296" s="409"/>
      <c r="S296" s="409"/>
      <c r="T296" s="409"/>
      <c r="U296" s="409"/>
      <c r="V296" s="409"/>
      <c r="W296" s="409"/>
      <c r="X296" s="409"/>
      <c r="Y296" s="409"/>
      <c r="Z296" s="409"/>
    </row>
    <row r="297" spans="1:26" ht="15.75" customHeight="1" x14ac:dyDescent="0.3">
      <c r="A297" s="409"/>
      <c r="B297" s="409"/>
      <c r="C297" s="409"/>
      <c r="D297" s="409"/>
      <c r="E297" s="409"/>
      <c r="F297" s="409"/>
      <c r="G297" s="409"/>
      <c r="H297" s="409"/>
      <c r="I297" s="409"/>
      <c r="J297" s="409"/>
      <c r="K297" s="409"/>
      <c r="L297" s="409"/>
      <c r="M297" s="409"/>
      <c r="N297" s="409"/>
      <c r="O297" s="409"/>
      <c r="P297" s="409"/>
      <c r="Q297" s="409"/>
      <c r="R297" s="409"/>
      <c r="S297" s="409"/>
      <c r="T297" s="409"/>
      <c r="U297" s="409"/>
      <c r="V297" s="409"/>
      <c r="W297" s="409"/>
      <c r="X297" s="409"/>
      <c r="Y297" s="409"/>
      <c r="Z297" s="409"/>
    </row>
    <row r="298" spans="1:26" ht="15.75" customHeight="1" x14ac:dyDescent="0.3">
      <c r="A298" s="409"/>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row>
    <row r="299" spans="1:26" ht="15.75" customHeight="1" x14ac:dyDescent="0.3">
      <c r="A299" s="409"/>
      <c r="B299" s="409"/>
      <c r="C299" s="409"/>
      <c r="D299" s="409"/>
      <c r="E299" s="409"/>
      <c r="F299" s="409"/>
      <c r="G299" s="409"/>
      <c r="H299" s="409"/>
      <c r="I299" s="409"/>
      <c r="J299" s="409"/>
      <c r="K299" s="409"/>
      <c r="L299" s="409"/>
      <c r="M299" s="409"/>
      <c r="N299" s="409"/>
      <c r="O299" s="409"/>
      <c r="P299" s="409"/>
      <c r="Q299" s="409"/>
      <c r="R299" s="409"/>
      <c r="S299" s="409"/>
      <c r="T299" s="409"/>
      <c r="U299" s="409"/>
      <c r="V299" s="409"/>
      <c r="W299" s="409"/>
      <c r="X299" s="409"/>
      <c r="Y299" s="409"/>
      <c r="Z299" s="409"/>
    </row>
    <row r="300" spans="1:26" ht="15.75" customHeight="1" x14ac:dyDescent="0.3">
      <c r="A300" s="409"/>
      <c r="B300" s="409"/>
      <c r="C300" s="409"/>
      <c r="D300" s="409"/>
      <c r="E300" s="409"/>
      <c r="F300" s="409"/>
      <c r="G300" s="409"/>
      <c r="H300" s="409"/>
      <c r="I300" s="409"/>
      <c r="J300" s="409"/>
      <c r="K300" s="409"/>
      <c r="L300" s="409"/>
      <c r="M300" s="409"/>
      <c r="N300" s="409"/>
      <c r="O300" s="409"/>
      <c r="P300" s="409"/>
      <c r="Q300" s="409"/>
      <c r="R300" s="409"/>
      <c r="S300" s="409"/>
      <c r="T300" s="409"/>
      <c r="U300" s="409"/>
      <c r="V300" s="409"/>
      <c r="W300" s="409"/>
      <c r="X300" s="409"/>
      <c r="Y300" s="409"/>
      <c r="Z300" s="409"/>
    </row>
    <row r="301" spans="1:26" ht="15.75" customHeight="1" x14ac:dyDescent="0.3">
      <c r="A301" s="409"/>
      <c r="B301" s="409"/>
      <c r="C301" s="409"/>
      <c r="D301" s="409"/>
      <c r="E301" s="409"/>
      <c r="F301" s="409"/>
      <c r="G301" s="409"/>
      <c r="H301" s="409"/>
      <c r="I301" s="409"/>
      <c r="J301" s="409"/>
      <c r="K301" s="409"/>
      <c r="L301" s="409"/>
      <c r="M301" s="409"/>
      <c r="N301" s="409"/>
      <c r="O301" s="409"/>
      <c r="P301" s="409"/>
      <c r="Q301" s="409"/>
      <c r="R301" s="409"/>
      <c r="S301" s="409"/>
      <c r="T301" s="409"/>
      <c r="U301" s="409"/>
      <c r="V301" s="409"/>
      <c r="W301" s="409"/>
      <c r="X301" s="409"/>
      <c r="Y301" s="409"/>
      <c r="Z301" s="409"/>
    </row>
    <row r="302" spans="1:26" ht="15.75" customHeight="1" x14ac:dyDescent="0.3">
      <c r="A302" s="409"/>
      <c r="B302" s="409"/>
      <c r="C302" s="409"/>
      <c r="D302" s="409"/>
      <c r="E302" s="409"/>
      <c r="F302" s="409"/>
      <c r="G302" s="409"/>
      <c r="H302" s="409"/>
      <c r="I302" s="409"/>
      <c r="J302" s="409"/>
      <c r="K302" s="409"/>
      <c r="L302" s="409"/>
      <c r="M302" s="409"/>
      <c r="N302" s="409"/>
      <c r="O302" s="409"/>
      <c r="P302" s="409"/>
      <c r="Q302" s="409"/>
      <c r="R302" s="409"/>
      <c r="S302" s="409"/>
      <c r="T302" s="409"/>
      <c r="U302" s="409"/>
      <c r="V302" s="409"/>
      <c r="W302" s="409"/>
      <c r="X302" s="409"/>
      <c r="Y302" s="409"/>
      <c r="Z302" s="409"/>
    </row>
    <row r="303" spans="1:26" ht="15.75" customHeight="1" x14ac:dyDescent="0.3">
      <c r="A303" s="409"/>
      <c r="B303" s="409"/>
      <c r="C303" s="409"/>
      <c r="D303" s="409"/>
      <c r="E303" s="409"/>
      <c r="F303" s="409"/>
      <c r="G303" s="409"/>
      <c r="H303" s="409"/>
      <c r="I303" s="409"/>
      <c r="J303" s="409"/>
      <c r="K303" s="409"/>
      <c r="L303" s="409"/>
      <c r="M303" s="409"/>
      <c r="N303" s="409"/>
      <c r="O303" s="409"/>
      <c r="P303" s="409"/>
      <c r="Q303" s="409"/>
      <c r="R303" s="409"/>
      <c r="S303" s="409"/>
      <c r="T303" s="409"/>
      <c r="U303" s="409"/>
      <c r="V303" s="409"/>
      <c r="W303" s="409"/>
      <c r="X303" s="409"/>
      <c r="Y303" s="409"/>
      <c r="Z303" s="409"/>
    </row>
    <row r="304" spans="1:26" ht="15.75" customHeight="1" x14ac:dyDescent="0.3">
      <c r="A304" s="409"/>
      <c r="B304" s="409"/>
      <c r="C304" s="409"/>
      <c r="D304" s="409"/>
      <c r="E304" s="409"/>
      <c r="F304" s="409"/>
      <c r="G304" s="409"/>
      <c r="H304" s="409"/>
      <c r="I304" s="409"/>
      <c r="J304" s="409"/>
      <c r="K304" s="409"/>
      <c r="L304" s="409"/>
      <c r="M304" s="409"/>
      <c r="N304" s="409"/>
      <c r="O304" s="409"/>
      <c r="P304" s="409"/>
      <c r="Q304" s="409"/>
      <c r="R304" s="409"/>
      <c r="S304" s="409"/>
      <c r="T304" s="409"/>
      <c r="U304" s="409"/>
      <c r="V304" s="409"/>
      <c r="W304" s="409"/>
      <c r="X304" s="409"/>
      <c r="Y304" s="409"/>
      <c r="Z304" s="409"/>
    </row>
    <row r="305" spans="1:26" ht="15.75" customHeight="1" x14ac:dyDescent="0.3">
      <c r="A305" s="409"/>
      <c r="B305" s="409"/>
      <c r="C305" s="409"/>
      <c r="D305" s="409"/>
      <c r="E305" s="409"/>
      <c r="F305" s="409"/>
      <c r="G305" s="409"/>
      <c r="H305" s="409"/>
      <c r="I305" s="409"/>
      <c r="J305" s="409"/>
      <c r="K305" s="409"/>
      <c r="L305" s="409"/>
      <c r="M305" s="409"/>
      <c r="N305" s="409"/>
      <c r="O305" s="409"/>
      <c r="P305" s="409"/>
      <c r="Q305" s="409"/>
      <c r="R305" s="409"/>
      <c r="S305" s="409"/>
      <c r="T305" s="409"/>
      <c r="U305" s="409"/>
      <c r="V305" s="409"/>
      <c r="W305" s="409"/>
      <c r="X305" s="409"/>
      <c r="Y305" s="409"/>
      <c r="Z305" s="409"/>
    </row>
    <row r="306" spans="1:26" ht="15.75" customHeight="1" x14ac:dyDescent="0.3">
      <c r="A306" s="409"/>
      <c r="B306" s="409"/>
      <c r="C306" s="409"/>
      <c r="D306" s="409"/>
      <c r="E306" s="409"/>
      <c r="F306" s="409"/>
      <c r="G306" s="409"/>
      <c r="H306" s="409"/>
      <c r="I306" s="409"/>
      <c r="J306" s="409"/>
      <c r="K306" s="409"/>
      <c r="L306" s="409"/>
      <c r="M306" s="409"/>
      <c r="N306" s="409"/>
      <c r="O306" s="409"/>
      <c r="P306" s="409"/>
      <c r="Q306" s="409"/>
      <c r="R306" s="409"/>
      <c r="S306" s="409"/>
      <c r="T306" s="409"/>
      <c r="U306" s="409"/>
      <c r="V306" s="409"/>
      <c r="W306" s="409"/>
      <c r="X306" s="409"/>
      <c r="Y306" s="409"/>
      <c r="Z306" s="409"/>
    </row>
    <row r="307" spans="1:26" ht="15.75" customHeight="1" x14ac:dyDescent="0.3">
      <c r="A307" s="409"/>
      <c r="B307" s="409"/>
      <c r="C307" s="409"/>
      <c r="D307" s="409"/>
      <c r="E307" s="409"/>
      <c r="F307" s="409"/>
      <c r="G307" s="409"/>
      <c r="H307" s="409"/>
      <c r="I307" s="409"/>
      <c r="J307" s="409"/>
      <c r="K307" s="409"/>
      <c r="L307" s="409"/>
      <c r="M307" s="409"/>
      <c r="N307" s="409"/>
      <c r="O307" s="409"/>
      <c r="P307" s="409"/>
      <c r="Q307" s="409"/>
      <c r="R307" s="409"/>
      <c r="S307" s="409"/>
      <c r="T307" s="409"/>
      <c r="U307" s="409"/>
      <c r="V307" s="409"/>
      <c r="W307" s="409"/>
      <c r="X307" s="409"/>
      <c r="Y307" s="409"/>
      <c r="Z307" s="409"/>
    </row>
    <row r="308" spans="1:26" ht="15.75" customHeight="1" x14ac:dyDescent="0.3">
      <c r="A308" s="409"/>
      <c r="B308" s="409"/>
      <c r="C308" s="409"/>
      <c r="D308" s="409"/>
      <c r="E308" s="409"/>
      <c r="F308" s="409"/>
      <c r="G308" s="409"/>
      <c r="H308" s="409"/>
      <c r="I308" s="409"/>
      <c r="J308" s="409"/>
      <c r="K308" s="409"/>
      <c r="L308" s="409"/>
      <c r="M308" s="409"/>
      <c r="N308" s="409"/>
      <c r="O308" s="409"/>
      <c r="P308" s="409"/>
      <c r="Q308" s="409"/>
      <c r="R308" s="409"/>
      <c r="S308" s="409"/>
      <c r="T308" s="409"/>
      <c r="U308" s="409"/>
      <c r="V308" s="409"/>
      <c r="W308" s="409"/>
      <c r="X308" s="409"/>
      <c r="Y308" s="409"/>
      <c r="Z308" s="409"/>
    </row>
    <row r="309" spans="1:26" ht="15.75" customHeight="1" x14ac:dyDescent="0.3">
      <c r="A309" s="409"/>
      <c r="B309" s="409"/>
      <c r="C309" s="409"/>
      <c r="D309" s="409"/>
      <c r="E309" s="409"/>
      <c r="F309" s="409"/>
      <c r="G309" s="409"/>
      <c r="H309" s="409"/>
      <c r="I309" s="409"/>
      <c r="J309" s="409"/>
      <c r="K309" s="409"/>
      <c r="L309" s="409"/>
      <c r="M309" s="409"/>
      <c r="N309" s="409"/>
      <c r="O309" s="409"/>
      <c r="P309" s="409"/>
      <c r="Q309" s="409"/>
      <c r="R309" s="409"/>
      <c r="S309" s="409"/>
      <c r="T309" s="409"/>
      <c r="U309" s="409"/>
      <c r="V309" s="409"/>
      <c r="W309" s="409"/>
      <c r="X309" s="409"/>
      <c r="Y309" s="409"/>
      <c r="Z309" s="409"/>
    </row>
    <row r="310" spans="1:26" ht="15.75" customHeight="1" x14ac:dyDescent="0.3">
      <c r="A310" s="409"/>
      <c r="B310" s="409"/>
      <c r="C310" s="409"/>
      <c r="D310" s="409"/>
      <c r="E310" s="409"/>
      <c r="F310" s="409"/>
      <c r="G310" s="409"/>
      <c r="H310" s="409"/>
      <c r="I310" s="409"/>
      <c r="J310" s="409"/>
      <c r="K310" s="409"/>
      <c r="L310" s="409"/>
      <c r="M310" s="409"/>
      <c r="N310" s="409"/>
      <c r="O310" s="409"/>
      <c r="P310" s="409"/>
      <c r="Q310" s="409"/>
      <c r="R310" s="409"/>
      <c r="S310" s="409"/>
      <c r="T310" s="409"/>
      <c r="U310" s="409"/>
      <c r="V310" s="409"/>
      <c r="W310" s="409"/>
      <c r="X310" s="409"/>
      <c r="Y310" s="409"/>
      <c r="Z310" s="409"/>
    </row>
    <row r="311" spans="1:26" ht="15.75" customHeight="1" x14ac:dyDescent="0.3">
      <c r="A311" s="409"/>
      <c r="B311" s="409"/>
      <c r="C311" s="409"/>
      <c r="D311" s="409"/>
      <c r="E311" s="409"/>
      <c r="F311" s="409"/>
      <c r="G311" s="409"/>
      <c r="H311" s="409"/>
      <c r="I311" s="409"/>
      <c r="J311" s="409"/>
      <c r="K311" s="409"/>
      <c r="L311" s="409"/>
      <c r="M311" s="409"/>
      <c r="N311" s="409"/>
      <c r="O311" s="409"/>
      <c r="P311" s="409"/>
      <c r="Q311" s="409"/>
      <c r="R311" s="409"/>
      <c r="S311" s="409"/>
      <c r="T311" s="409"/>
      <c r="U311" s="409"/>
      <c r="V311" s="409"/>
      <c r="W311" s="409"/>
      <c r="X311" s="409"/>
      <c r="Y311" s="409"/>
      <c r="Z311" s="409"/>
    </row>
    <row r="312" spans="1:26" ht="15.75" customHeight="1" x14ac:dyDescent="0.3">
      <c r="A312" s="409"/>
      <c r="B312" s="409"/>
      <c r="C312" s="409"/>
      <c r="D312" s="409"/>
      <c r="E312" s="409"/>
      <c r="F312" s="409"/>
      <c r="G312" s="409"/>
      <c r="H312" s="409"/>
      <c r="I312" s="409"/>
      <c r="J312" s="409"/>
      <c r="K312" s="409"/>
      <c r="L312" s="409"/>
      <c r="M312" s="409"/>
      <c r="N312" s="409"/>
      <c r="O312" s="409"/>
      <c r="P312" s="409"/>
      <c r="Q312" s="409"/>
      <c r="R312" s="409"/>
      <c r="S312" s="409"/>
      <c r="T312" s="409"/>
      <c r="U312" s="409"/>
      <c r="V312" s="409"/>
      <c r="W312" s="409"/>
      <c r="X312" s="409"/>
      <c r="Y312" s="409"/>
      <c r="Z312" s="409"/>
    </row>
    <row r="313" spans="1:26" ht="15.75" customHeight="1" x14ac:dyDescent="0.3">
      <c r="A313" s="409"/>
      <c r="B313" s="409"/>
      <c r="C313" s="409"/>
      <c r="D313" s="409"/>
      <c r="E313" s="409"/>
      <c r="F313" s="409"/>
      <c r="G313" s="409"/>
      <c r="H313" s="409"/>
      <c r="I313" s="409"/>
      <c r="J313" s="409"/>
      <c r="K313" s="409"/>
      <c r="L313" s="409"/>
      <c r="M313" s="409"/>
      <c r="N313" s="409"/>
      <c r="O313" s="409"/>
      <c r="P313" s="409"/>
      <c r="Q313" s="409"/>
      <c r="R313" s="409"/>
      <c r="S313" s="409"/>
      <c r="T313" s="409"/>
      <c r="U313" s="409"/>
      <c r="V313" s="409"/>
      <c r="W313" s="409"/>
      <c r="X313" s="409"/>
      <c r="Y313" s="409"/>
      <c r="Z313" s="409"/>
    </row>
    <row r="314" spans="1:26" ht="15.75" customHeight="1" x14ac:dyDescent="0.3">
      <c r="A314" s="409"/>
      <c r="B314" s="409"/>
      <c r="C314" s="409"/>
      <c r="D314" s="409"/>
      <c r="E314" s="409"/>
      <c r="F314" s="409"/>
      <c r="G314" s="409"/>
      <c r="H314" s="409"/>
      <c r="I314" s="409"/>
      <c r="J314" s="409"/>
      <c r="K314" s="409"/>
      <c r="L314" s="409"/>
      <c r="M314" s="409"/>
      <c r="N314" s="409"/>
      <c r="O314" s="409"/>
      <c r="P314" s="409"/>
      <c r="Q314" s="409"/>
      <c r="R314" s="409"/>
      <c r="S314" s="409"/>
      <c r="T314" s="409"/>
      <c r="U314" s="409"/>
      <c r="V314" s="409"/>
      <c r="W314" s="409"/>
      <c r="X314" s="409"/>
      <c r="Y314" s="409"/>
      <c r="Z314" s="409"/>
    </row>
    <row r="315" spans="1:26" ht="15.75" customHeight="1" x14ac:dyDescent="0.3">
      <c r="A315" s="409"/>
      <c r="B315" s="409"/>
      <c r="C315" s="409"/>
      <c r="D315" s="409"/>
      <c r="E315" s="409"/>
      <c r="F315" s="409"/>
      <c r="G315" s="409"/>
      <c r="H315" s="409"/>
      <c r="I315" s="409"/>
      <c r="J315" s="409"/>
      <c r="K315" s="409"/>
      <c r="L315" s="409"/>
      <c r="M315" s="409"/>
      <c r="N315" s="409"/>
      <c r="O315" s="409"/>
      <c r="P315" s="409"/>
      <c r="Q315" s="409"/>
      <c r="R315" s="409"/>
      <c r="S315" s="409"/>
      <c r="T315" s="409"/>
      <c r="U315" s="409"/>
      <c r="V315" s="409"/>
      <c r="W315" s="409"/>
      <c r="X315" s="409"/>
      <c r="Y315" s="409"/>
      <c r="Z315" s="409"/>
    </row>
    <row r="316" spans="1:26" ht="15.75" customHeight="1" x14ac:dyDescent="0.3"/>
    <row r="317" spans="1:26" ht="15.75" customHeight="1" x14ac:dyDescent="0.3"/>
    <row r="318" spans="1:26" ht="15.75" customHeight="1" x14ac:dyDescent="0.3"/>
    <row r="319" spans="1:26" ht="15.75" customHeight="1" x14ac:dyDescent="0.3"/>
    <row r="320" spans="1:26"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sheetPr>
  <dimension ref="A1:D1000"/>
  <sheetViews>
    <sheetView workbookViewId="0"/>
  </sheetViews>
  <sheetFormatPr defaultColWidth="14.3984375" defaultRowHeight="15" customHeight="1" x14ac:dyDescent="0.3"/>
  <cols>
    <col min="1" max="1" width="8.69921875" customWidth="1"/>
    <col min="2" max="2" width="57.59765625" customWidth="1"/>
    <col min="3" max="3" width="26.3984375" customWidth="1"/>
    <col min="4" max="4" width="21" customWidth="1"/>
    <col min="5" max="26" width="8.69921875" customWidth="1"/>
  </cols>
  <sheetData>
    <row r="1" spans="1:4" ht="12.75" customHeight="1" x14ac:dyDescent="0.3"/>
    <row r="2" spans="1:4" ht="12.75" customHeight="1" x14ac:dyDescent="0.3">
      <c r="A2" s="364">
        <v>2019</v>
      </c>
      <c r="B2" s="366" t="s">
        <v>472</v>
      </c>
      <c r="C2" s="362" t="s">
        <v>498</v>
      </c>
      <c r="D2" s="362" t="s">
        <v>499</v>
      </c>
    </row>
    <row r="3" spans="1:4" ht="12.75" customHeight="1" x14ac:dyDescent="0.3">
      <c r="A3" s="16">
        <v>1</v>
      </c>
      <c r="B3" s="406" t="s">
        <v>500</v>
      </c>
      <c r="C3" s="429">
        <v>125155</v>
      </c>
      <c r="D3" s="429">
        <v>21893669.981000043</v>
      </c>
    </row>
    <row r="4" spans="1:4" ht="12.75" customHeight="1" x14ac:dyDescent="0.3">
      <c r="A4" s="16">
        <v>2</v>
      </c>
      <c r="B4" s="406" t="s">
        <v>501</v>
      </c>
      <c r="C4" s="429">
        <v>147097</v>
      </c>
      <c r="D4" s="429">
        <v>1029967.1400000002</v>
      </c>
    </row>
    <row r="5" spans="1:4" ht="12.75" customHeight="1" x14ac:dyDescent="0.3">
      <c r="A5" s="16">
        <v>3</v>
      </c>
      <c r="B5" s="406" t="s">
        <v>502</v>
      </c>
      <c r="C5" s="429">
        <v>25603</v>
      </c>
      <c r="D5" s="429">
        <v>19820980.391000006</v>
      </c>
    </row>
    <row r="6" spans="1:4" ht="12.75" customHeight="1" x14ac:dyDescent="0.3">
      <c r="A6" s="16">
        <v>4</v>
      </c>
      <c r="B6" s="406" t="s">
        <v>503</v>
      </c>
      <c r="C6" s="429">
        <v>2445958</v>
      </c>
      <c r="D6" s="429">
        <v>15049039.205999942</v>
      </c>
    </row>
    <row r="7" spans="1:4" ht="12.75" customHeight="1" x14ac:dyDescent="0.3">
      <c r="A7" s="16">
        <v>5</v>
      </c>
      <c r="B7" s="406" t="s">
        <v>504</v>
      </c>
      <c r="C7" s="429">
        <v>158556</v>
      </c>
      <c r="D7" s="429">
        <v>25878376.16300026</v>
      </c>
    </row>
    <row r="8" spans="1:4" ht="12.75" customHeight="1" x14ac:dyDescent="0.3">
      <c r="A8" s="16">
        <v>6</v>
      </c>
      <c r="B8" s="406" t="s">
        <v>505</v>
      </c>
      <c r="C8" s="429">
        <v>125939</v>
      </c>
      <c r="D8" s="429">
        <v>3756929.945000004</v>
      </c>
    </row>
    <row r="9" spans="1:4" ht="12.75" customHeight="1" x14ac:dyDescent="0.3">
      <c r="A9" s="16">
        <v>7</v>
      </c>
      <c r="B9" s="406" t="s">
        <v>506</v>
      </c>
      <c r="C9" s="429">
        <v>4481</v>
      </c>
      <c r="D9" s="429">
        <v>5051974.6799999988</v>
      </c>
    </row>
    <row r="10" spans="1:4" ht="12.75" customHeight="1" x14ac:dyDescent="0.3">
      <c r="A10" s="16">
        <v>8</v>
      </c>
      <c r="B10" s="406" t="s">
        <v>507</v>
      </c>
      <c r="C10" s="429">
        <v>19356</v>
      </c>
      <c r="D10" s="429">
        <v>2101728.3120000008</v>
      </c>
    </row>
    <row r="11" spans="1:4" ht="12.75" customHeight="1" x14ac:dyDescent="0.3">
      <c r="A11" s="16">
        <v>9</v>
      </c>
      <c r="B11" s="406" t="s">
        <v>508</v>
      </c>
      <c r="C11" s="429">
        <v>39172</v>
      </c>
      <c r="D11" s="429">
        <v>3078784.1919999989</v>
      </c>
    </row>
    <row r="12" spans="1:4" ht="12.75" customHeight="1" x14ac:dyDescent="0.3">
      <c r="A12" s="16">
        <v>10</v>
      </c>
      <c r="B12" s="406" t="s">
        <v>509</v>
      </c>
      <c r="C12" s="429">
        <v>796034</v>
      </c>
      <c r="D12" s="429">
        <v>7300507.1509999661</v>
      </c>
    </row>
    <row r="13" spans="1:4" ht="12.75" customHeight="1" x14ac:dyDescent="0.3">
      <c r="A13" s="16">
        <v>11</v>
      </c>
      <c r="B13" s="406" t="s">
        <v>510</v>
      </c>
      <c r="C13" s="429">
        <v>64985</v>
      </c>
      <c r="D13" s="429">
        <v>6808444.2049999926</v>
      </c>
    </row>
    <row r="14" spans="1:4" ht="12.75" customHeight="1" x14ac:dyDescent="0.3">
      <c r="A14" s="16">
        <v>12</v>
      </c>
      <c r="B14" s="406" t="s">
        <v>511</v>
      </c>
      <c r="C14" s="429">
        <v>10622</v>
      </c>
      <c r="D14" s="429">
        <v>322104.0500000004</v>
      </c>
    </row>
    <row r="15" spans="1:4" ht="12.75" customHeight="1" x14ac:dyDescent="0.3">
      <c r="A15" s="16">
        <v>13</v>
      </c>
      <c r="B15" s="406" t="s">
        <v>512</v>
      </c>
      <c r="C15" s="429">
        <v>382684</v>
      </c>
      <c r="D15" s="429">
        <v>14397676.256000036</v>
      </c>
    </row>
    <row r="16" spans="1:4" ht="12.75" customHeight="1" x14ac:dyDescent="0.3">
      <c r="A16" s="16">
        <v>14</v>
      </c>
      <c r="B16" s="406" t="s">
        <v>513</v>
      </c>
      <c r="C16" s="429">
        <v>810090</v>
      </c>
      <c r="D16" s="429">
        <v>5383508.3879999314</v>
      </c>
    </row>
    <row r="17" spans="1:4" ht="12.75" customHeight="1" x14ac:dyDescent="0.3">
      <c r="A17" s="16">
        <v>15</v>
      </c>
      <c r="B17" s="406" t="s">
        <v>514</v>
      </c>
      <c r="C17" s="429">
        <v>96489</v>
      </c>
      <c r="D17" s="429">
        <v>2978022.7839999902</v>
      </c>
    </row>
    <row r="18" spans="1:4" ht="12.75" customHeight="1" x14ac:dyDescent="0.3">
      <c r="B18" s="406" t="s">
        <v>443</v>
      </c>
      <c r="C18" s="429">
        <v>5252221</v>
      </c>
      <c r="D18" s="429">
        <v>134851712.84400019</v>
      </c>
    </row>
    <row r="19" spans="1:4" ht="12.75" customHeight="1" x14ac:dyDescent="0.3"/>
    <row r="20" spans="1:4" ht="12.75" customHeight="1" x14ac:dyDescent="0.3">
      <c r="A20" s="364">
        <v>2020</v>
      </c>
      <c r="B20" s="366" t="s">
        <v>472</v>
      </c>
      <c r="C20" s="366" t="s">
        <v>499</v>
      </c>
      <c r="D20" s="16" t="s">
        <v>498</v>
      </c>
    </row>
    <row r="21" spans="1:4" ht="12.75" customHeight="1" x14ac:dyDescent="0.3">
      <c r="A21" s="16">
        <v>1</v>
      </c>
      <c r="B21" s="406" t="s">
        <v>500</v>
      </c>
      <c r="C21" s="429">
        <v>16476910.929999985</v>
      </c>
      <c r="D21" s="429">
        <v>122784</v>
      </c>
    </row>
    <row r="22" spans="1:4" ht="12.75" customHeight="1" x14ac:dyDescent="0.3">
      <c r="A22" s="16">
        <v>2</v>
      </c>
      <c r="B22" s="406" t="s">
        <v>501</v>
      </c>
      <c r="C22" s="429">
        <v>788060.97000000125</v>
      </c>
      <c r="D22" s="429">
        <v>133130</v>
      </c>
    </row>
    <row r="23" spans="1:4" ht="12.75" customHeight="1" x14ac:dyDescent="0.3">
      <c r="A23" s="16">
        <v>3</v>
      </c>
      <c r="B23" s="406" t="s">
        <v>502</v>
      </c>
      <c r="C23" s="429">
        <v>14823826.390000008</v>
      </c>
      <c r="D23" s="429">
        <v>18708</v>
      </c>
    </row>
    <row r="24" spans="1:4" ht="12.75" customHeight="1" x14ac:dyDescent="0.3">
      <c r="A24" s="16">
        <v>4</v>
      </c>
      <c r="B24" s="406" t="s">
        <v>503</v>
      </c>
      <c r="C24" s="429">
        <v>13601859.249999933</v>
      </c>
      <c r="D24" s="429">
        <v>2184417</v>
      </c>
    </row>
    <row r="25" spans="1:4" ht="12.75" customHeight="1" x14ac:dyDescent="0.3">
      <c r="A25" s="16">
        <v>5</v>
      </c>
      <c r="B25" s="406" t="s">
        <v>504</v>
      </c>
      <c r="C25" s="429">
        <v>25445111.896999251</v>
      </c>
      <c r="D25" s="429">
        <v>145584</v>
      </c>
    </row>
    <row r="26" spans="1:4" ht="12.75" customHeight="1" x14ac:dyDescent="0.3">
      <c r="A26" s="16">
        <v>6</v>
      </c>
      <c r="B26" s="406" t="s">
        <v>505</v>
      </c>
      <c r="C26" s="429">
        <v>3201150.8780000112</v>
      </c>
      <c r="D26" s="429">
        <v>106707</v>
      </c>
    </row>
    <row r="27" spans="1:4" ht="12.75" customHeight="1" x14ac:dyDescent="0.3">
      <c r="A27" s="16">
        <v>7</v>
      </c>
      <c r="B27" s="406" t="s">
        <v>506</v>
      </c>
      <c r="C27" s="429">
        <v>3822478.6799999992</v>
      </c>
      <c r="D27" s="429">
        <v>3303</v>
      </c>
    </row>
    <row r="28" spans="1:4" ht="12.75" customHeight="1" x14ac:dyDescent="0.3">
      <c r="A28" s="16">
        <v>8</v>
      </c>
      <c r="B28" s="406" t="s">
        <v>507</v>
      </c>
      <c r="C28" s="429">
        <v>1285479.1410000005</v>
      </c>
      <c r="D28" s="429">
        <v>14172</v>
      </c>
    </row>
    <row r="29" spans="1:4" ht="12.75" customHeight="1" x14ac:dyDescent="0.3">
      <c r="A29" s="16">
        <v>9</v>
      </c>
      <c r="B29" s="406" t="s">
        <v>508</v>
      </c>
      <c r="C29" s="429">
        <v>2497891.6120000002</v>
      </c>
      <c r="D29" s="429">
        <v>28732</v>
      </c>
    </row>
    <row r="30" spans="1:4" ht="12.75" customHeight="1" x14ac:dyDescent="0.3">
      <c r="A30" s="16">
        <v>10</v>
      </c>
      <c r="B30" s="406" t="s">
        <v>509</v>
      </c>
      <c r="C30" s="429">
        <v>8889829.0319999848</v>
      </c>
      <c r="D30" s="429">
        <v>970921</v>
      </c>
    </row>
    <row r="31" spans="1:4" ht="12.75" customHeight="1" x14ac:dyDescent="0.3">
      <c r="A31" s="16">
        <v>11</v>
      </c>
      <c r="B31" s="406" t="s">
        <v>510</v>
      </c>
      <c r="C31" s="429">
        <v>5036178.2939999942</v>
      </c>
      <c r="D31" s="429">
        <v>54056</v>
      </c>
    </row>
    <row r="32" spans="1:4" ht="12.75" customHeight="1" x14ac:dyDescent="0.3">
      <c r="A32" s="16">
        <v>12</v>
      </c>
      <c r="B32" s="406" t="s">
        <v>511</v>
      </c>
      <c r="C32" s="429">
        <v>1017891.5499999998</v>
      </c>
      <c r="D32" s="429">
        <v>24722</v>
      </c>
    </row>
    <row r="33" spans="1:4" ht="12.75" customHeight="1" x14ac:dyDescent="0.3">
      <c r="A33" s="16">
        <v>13</v>
      </c>
      <c r="B33" s="406" t="s">
        <v>512</v>
      </c>
      <c r="C33" s="429">
        <v>14150991.032</v>
      </c>
      <c r="D33" s="429">
        <v>336230</v>
      </c>
    </row>
    <row r="34" spans="1:4" ht="12.75" customHeight="1" x14ac:dyDescent="0.3">
      <c r="A34" s="16">
        <v>14</v>
      </c>
      <c r="B34" s="406" t="s">
        <v>513</v>
      </c>
      <c r="C34" s="429">
        <v>3847832.0240000119</v>
      </c>
      <c r="D34" s="429">
        <v>712621</v>
      </c>
    </row>
    <row r="35" spans="1:4" ht="12.75" customHeight="1" x14ac:dyDescent="0.3">
      <c r="A35" s="16">
        <v>15</v>
      </c>
      <c r="B35" s="406" t="s">
        <v>514</v>
      </c>
      <c r="C35" s="429">
        <v>3223442.4549999982</v>
      </c>
      <c r="D35" s="429">
        <v>82336</v>
      </c>
    </row>
    <row r="36" spans="1:4" ht="12.75" customHeight="1" x14ac:dyDescent="0.3">
      <c r="B36" s="406" t="s">
        <v>443</v>
      </c>
      <c r="C36" s="429">
        <v>118108934.1349992</v>
      </c>
      <c r="D36" s="429">
        <v>4938423</v>
      </c>
    </row>
    <row r="37" spans="1:4" ht="12.75" customHeight="1" x14ac:dyDescent="0.3"/>
    <row r="38" spans="1:4" ht="12.75" customHeight="1" x14ac:dyDescent="0.3">
      <c r="A38" s="364">
        <v>2021</v>
      </c>
      <c r="B38" s="366" t="s">
        <v>472</v>
      </c>
      <c r="C38" s="366" t="s">
        <v>498</v>
      </c>
      <c r="D38" s="16" t="s">
        <v>499</v>
      </c>
    </row>
    <row r="39" spans="1:4" ht="12.75" customHeight="1" x14ac:dyDescent="0.3">
      <c r="A39" s="16">
        <v>1</v>
      </c>
      <c r="B39" s="406" t="s">
        <v>500</v>
      </c>
      <c r="C39" s="16">
        <v>113111</v>
      </c>
      <c r="D39" s="429">
        <v>20100721.73999995</v>
      </c>
    </row>
    <row r="40" spans="1:4" ht="12.75" customHeight="1" x14ac:dyDescent="0.3">
      <c r="A40" s="16">
        <v>2</v>
      </c>
      <c r="B40" s="406" t="s">
        <v>501</v>
      </c>
      <c r="C40" s="16">
        <v>140556</v>
      </c>
      <c r="D40" s="429">
        <v>987172.37000000186</v>
      </c>
    </row>
    <row r="41" spans="1:4" ht="12.75" customHeight="1" x14ac:dyDescent="0.3">
      <c r="A41" s="16">
        <v>3</v>
      </c>
      <c r="B41" s="406" t="s">
        <v>502</v>
      </c>
      <c r="C41" s="16">
        <v>24190</v>
      </c>
      <c r="D41" s="429">
        <v>20806738.640000004</v>
      </c>
    </row>
    <row r="42" spans="1:4" ht="12.75" customHeight="1" x14ac:dyDescent="0.3">
      <c r="A42" s="16">
        <v>4</v>
      </c>
      <c r="B42" s="406" t="s">
        <v>503</v>
      </c>
      <c r="C42" s="16">
        <v>2340864.5</v>
      </c>
      <c r="D42" s="429">
        <v>13819711.78699995</v>
      </c>
    </row>
    <row r="43" spans="1:4" ht="12.75" customHeight="1" x14ac:dyDescent="0.3">
      <c r="A43" s="16">
        <v>5</v>
      </c>
      <c r="B43" s="406" t="s">
        <v>504</v>
      </c>
      <c r="C43" s="16">
        <v>148739</v>
      </c>
      <c r="D43" s="429">
        <v>28487442.746998094</v>
      </c>
    </row>
    <row r="44" spans="1:4" ht="12.75" customHeight="1" x14ac:dyDescent="0.3">
      <c r="A44" s="16">
        <v>6</v>
      </c>
      <c r="B44" s="406" t="s">
        <v>505</v>
      </c>
      <c r="C44" s="16">
        <v>131986</v>
      </c>
      <c r="D44" s="429">
        <v>3941049.0399999958</v>
      </c>
    </row>
    <row r="45" spans="1:4" ht="12.75" customHeight="1" x14ac:dyDescent="0.3">
      <c r="A45" s="16">
        <v>7</v>
      </c>
      <c r="B45" s="406" t="s">
        <v>506</v>
      </c>
      <c r="C45" s="16">
        <v>5770</v>
      </c>
      <c r="D45" s="429">
        <v>6210877</v>
      </c>
    </row>
    <row r="46" spans="1:4" ht="12.75" customHeight="1" x14ac:dyDescent="0.3">
      <c r="A46" s="16">
        <v>8</v>
      </c>
      <c r="B46" s="406" t="s">
        <v>507</v>
      </c>
      <c r="C46" s="16">
        <v>18479</v>
      </c>
      <c r="D46" s="429">
        <v>1497405.2520000013</v>
      </c>
    </row>
    <row r="47" spans="1:4" ht="12.75" customHeight="1" x14ac:dyDescent="0.3">
      <c r="A47" s="16">
        <v>9</v>
      </c>
      <c r="B47" s="406" t="s">
        <v>508</v>
      </c>
      <c r="C47" s="16">
        <v>38597</v>
      </c>
      <c r="D47" s="429">
        <v>2851504.0399999912</v>
      </c>
    </row>
    <row r="48" spans="1:4" ht="12.75" customHeight="1" x14ac:dyDescent="0.3">
      <c r="A48" s="16">
        <v>10</v>
      </c>
      <c r="B48" s="406" t="s">
        <v>509</v>
      </c>
      <c r="C48" s="16">
        <v>947128</v>
      </c>
      <c r="D48" s="429">
        <v>8863888.830999976</v>
      </c>
    </row>
    <row r="49" spans="1:4" ht="12.75" customHeight="1" x14ac:dyDescent="0.3">
      <c r="A49" s="16">
        <v>11</v>
      </c>
      <c r="B49" s="406" t="s">
        <v>510</v>
      </c>
      <c r="C49" s="16">
        <v>70839</v>
      </c>
      <c r="D49" s="429">
        <v>7443199.1399999969</v>
      </c>
    </row>
    <row r="50" spans="1:4" ht="12.75" customHeight="1" x14ac:dyDescent="0.3">
      <c r="A50" s="16">
        <v>12</v>
      </c>
      <c r="B50" s="406" t="s">
        <v>511</v>
      </c>
      <c r="C50" s="16">
        <v>28378</v>
      </c>
      <c r="D50" s="429">
        <v>466107.9699999998</v>
      </c>
    </row>
    <row r="51" spans="1:4" ht="12.75" customHeight="1" x14ac:dyDescent="0.3">
      <c r="A51" s="16">
        <v>13</v>
      </c>
      <c r="B51" s="406" t="s">
        <v>512</v>
      </c>
      <c r="C51" s="16">
        <v>382589</v>
      </c>
      <c r="D51" s="429">
        <v>14503500.975999948</v>
      </c>
    </row>
    <row r="52" spans="1:4" ht="12.75" customHeight="1" x14ac:dyDescent="0.3">
      <c r="A52" s="16">
        <v>14</v>
      </c>
      <c r="B52" s="406" t="s">
        <v>513</v>
      </c>
      <c r="C52" s="16">
        <v>719783</v>
      </c>
      <c r="D52" s="429">
        <v>5311024.1440000059</v>
      </c>
    </row>
    <row r="53" spans="1:4" ht="12.75" customHeight="1" x14ac:dyDescent="0.3">
      <c r="A53" s="16">
        <v>15</v>
      </c>
      <c r="B53" s="406" t="s">
        <v>514</v>
      </c>
      <c r="C53" s="16">
        <v>95004</v>
      </c>
      <c r="D53" s="429">
        <v>3166666.3069999982</v>
      </c>
    </row>
    <row r="54" spans="1:4" ht="12.75" customHeight="1" x14ac:dyDescent="0.3">
      <c r="B54" s="406" t="s">
        <v>443</v>
      </c>
      <c r="C54" s="16">
        <v>5206013.5</v>
      </c>
      <c r="D54" s="429">
        <v>138457009.98399791</v>
      </c>
    </row>
    <row r="55" spans="1:4" ht="12.75" customHeight="1" x14ac:dyDescent="0.3"/>
    <row r="56" spans="1:4" ht="12.75" customHeight="1" x14ac:dyDescent="0.3"/>
    <row r="57" spans="1:4" ht="12.75" customHeight="1" x14ac:dyDescent="0.3"/>
    <row r="58" spans="1:4" ht="12.75" customHeight="1" x14ac:dyDescent="0.3"/>
    <row r="59" spans="1:4" ht="12.75" customHeight="1" x14ac:dyDescent="0.3"/>
    <row r="60" spans="1:4" ht="12.75" customHeight="1" x14ac:dyDescent="0.3"/>
    <row r="61" spans="1:4" ht="12.75" customHeight="1" x14ac:dyDescent="0.3"/>
    <row r="62" spans="1:4" ht="12.75" customHeight="1" x14ac:dyDescent="0.3"/>
    <row r="63" spans="1:4" ht="12.75" customHeight="1" x14ac:dyDescent="0.3"/>
    <row r="64" spans="1: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pageMargins left="0.7" right="0.7" top="0.75" bottom="0.75" header="0" footer="0"/>
  <pageSetup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000"/>
  <sheetViews>
    <sheetView workbookViewId="0"/>
  </sheetViews>
  <sheetFormatPr defaultColWidth="14.3984375" defaultRowHeight="15" customHeight="1" x14ac:dyDescent="0.3"/>
  <cols>
    <col min="1" max="1" width="30" customWidth="1"/>
    <col min="2" max="4" width="13.09765625" customWidth="1"/>
    <col min="5" max="5" width="10.09765625" customWidth="1"/>
    <col min="6" max="6" width="10" customWidth="1"/>
    <col min="7" max="7" width="13.3984375" customWidth="1"/>
    <col min="8" max="8" width="8.3984375" customWidth="1"/>
    <col min="9" max="9" width="22.8984375" customWidth="1"/>
    <col min="10" max="10" width="39" customWidth="1"/>
  </cols>
  <sheetData>
    <row r="1" spans="1:10" ht="12.75" customHeight="1" x14ac:dyDescent="0.3">
      <c r="I1" s="366"/>
      <c r="J1" s="366"/>
    </row>
    <row r="2" spans="1:10" ht="12.75" customHeight="1" x14ac:dyDescent="0.3">
      <c r="I2" s="366"/>
      <c r="J2" s="366"/>
    </row>
    <row r="3" spans="1:10" ht="12.75" customHeight="1" x14ac:dyDescent="0.3">
      <c r="A3" s="367" t="s">
        <v>62</v>
      </c>
      <c r="B3" s="607" t="s">
        <v>436</v>
      </c>
      <c r="C3" s="546"/>
      <c r="D3" s="534"/>
      <c r="E3" s="430"/>
      <c r="F3" s="608" t="s">
        <v>437</v>
      </c>
      <c r="G3" s="534"/>
      <c r="H3" s="431" t="s">
        <v>438</v>
      </c>
      <c r="I3" s="366"/>
      <c r="J3" s="369" t="s">
        <v>439</v>
      </c>
    </row>
    <row r="4" spans="1:10" ht="12.75" customHeight="1" x14ac:dyDescent="0.3">
      <c r="A4" s="370"/>
      <c r="B4" s="432">
        <v>2019</v>
      </c>
      <c r="C4" s="432">
        <v>2020</v>
      </c>
      <c r="D4" s="432">
        <v>2021</v>
      </c>
      <c r="E4" s="432">
        <v>2022</v>
      </c>
      <c r="F4" s="432">
        <v>2020</v>
      </c>
      <c r="G4" s="432">
        <v>2021</v>
      </c>
      <c r="H4" s="433" t="s">
        <v>440</v>
      </c>
      <c r="I4" s="366"/>
      <c r="J4" s="373" t="s">
        <v>441</v>
      </c>
    </row>
    <row r="5" spans="1:10" ht="12.75" customHeight="1" x14ac:dyDescent="0.3">
      <c r="A5" s="374" t="s">
        <v>93</v>
      </c>
      <c r="B5" s="375">
        <v>142563</v>
      </c>
      <c r="C5" s="375">
        <v>77054</v>
      </c>
      <c r="D5" s="375">
        <v>80133</v>
      </c>
      <c r="E5" s="375"/>
      <c r="F5" s="61">
        <f t="shared" ref="F5:G5" si="0">C5/B5-1</f>
        <v>-0.45950912929722298</v>
      </c>
      <c r="G5" s="61">
        <f t="shared" si="0"/>
        <v>3.9958989799361522E-2</v>
      </c>
      <c r="H5" s="376">
        <f t="shared" ref="H5:H7" si="1">(D5/B5)^(1/2)-1</f>
        <v>-0.25027449030205906</v>
      </c>
      <c r="I5" s="366"/>
      <c r="J5" s="366"/>
    </row>
    <row r="6" spans="1:10" ht="12.75" customHeight="1" x14ac:dyDescent="0.3">
      <c r="A6" s="374" t="s">
        <v>95</v>
      </c>
      <c r="B6" s="375">
        <v>378921</v>
      </c>
      <c r="C6" s="375">
        <v>331917</v>
      </c>
      <c r="D6" s="375">
        <v>247609</v>
      </c>
      <c r="E6" s="375"/>
      <c r="F6" s="61">
        <f t="shared" ref="F6:G6" si="2">C6/B6-1</f>
        <v>-0.1240469649346434</v>
      </c>
      <c r="G6" s="61">
        <f t="shared" si="2"/>
        <v>-0.25400325985110739</v>
      </c>
      <c r="H6" s="376">
        <f t="shared" si="1"/>
        <v>-0.19163244208943864</v>
      </c>
      <c r="I6" s="366"/>
      <c r="J6" s="366"/>
    </row>
    <row r="7" spans="1:10" ht="12.75" customHeight="1" x14ac:dyDescent="0.3">
      <c r="A7" s="374" t="s">
        <v>96</v>
      </c>
      <c r="B7" s="375">
        <v>665362</v>
      </c>
      <c r="C7" s="375">
        <v>677550</v>
      </c>
      <c r="D7" s="375">
        <v>792378</v>
      </c>
      <c r="E7" s="375"/>
      <c r="F7" s="61">
        <f t="shared" ref="F7:G7" si="3">C7/B7-1</f>
        <v>1.8317848028591932E-2</v>
      </c>
      <c r="G7" s="61">
        <f t="shared" si="3"/>
        <v>0.16947531547487271</v>
      </c>
      <c r="H7" s="376">
        <f t="shared" si="1"/>
        <v>9.1282542047169013E-2</v>
      </c>
      <c r="I7" s="366"/>
      <c r="J7" s="366" t="s">
        <v>442</v>
      </c>
    </row>
    <row r="8" spans="1:10" ht="12.75" customHeight="1" x14ac:dyDescent="0.3">
      <c r="A8" s="374" t="s">
        <v>97</v>
      </c>
      <c r="B8" s="375"/>
      <c r="C8" s="375"/>
      <c r="D8" s="375">
        <v>22311</v>
      </c>
      <c r="E8" s="375"/>
      <c r="F8" s="61"/>
      <c r="G8" s="61"/>
      <c r="H8" s="376"/>
      <c r="I8" s="366"/>
      <c r="J8" s="366"/>
    </row>
    <row r="9" spans="1:10" ht="12.75" customHeight="1" x14ac:dyDescent="0.3">
      <c r="A9" s="374" t="s">
        <v>98</v>
      </c>
      <c r="B9" s="375">
        <v>49627</v>
      </c>
      <c r="C9" s="375">
        <v>47735</v>
      </c>
      <c r="D9" s="375">
        <v>0</v>
      </c>
      <c r="E9" s="375"/>
      <c r="F9" s="61">
        <f>C9/B9-1</f>
        <v>-3.8124408084308947E-2</v>
      </c>
      <c r="G9" s="61"/>
      <c r="H9" s="376">
        <f>(D9/B9)^(1/2)-1</f>
        <v>-1</v>
      </c>
      <c r="I9" s="366"/>
      <c r="J9" s="366"/>
    </row>
    <row r="10" spans="1:10" ht="12.75" customHeight="1" x14ac:dyDescent="0.3">
      <c r="A10" s="374" t="s">
        <v>275</v>
      </c>
      <c r="B10" s="375"/>
      <c r="C10" s="375"/>
      <c r="D10" s="375"/>
      <c r="E10" s="375"/>
      <c r="F10" s="61"/>
      <c r="G10" s="61"/>
      <c r="H10" s="376"/>
      <c r="I10" s="366"/>
      <c r="J10" s="366"/>
    </row>
    <row r="11" spans="1:10" ht="12.75" customHeight="1" x14ac:dyDescent="0.3">
      <c r="A11" s="374" t="s">
        <v>276</v>
      </c>
      <c r="B11" s="375"/>
      <c r="C11" s="375">
        <v>8414</v>
      </c>
      <c r="D11" s="375">
        <v>9827</v>
      </c>
      <c r="E11" s="375"/>
      <c r="F11" s="61"/>
      <c r="G11" s="61"/>
      <c r="H11" s="376"/>
      <c r="I11" s="366"/>
      <c r="J11" s="366"/>
    </row>
    <row r="12" spans="1:10" ht="12.75" customHeight="1" x14ac:dyDescent="0.3">
      <c r="A12" s="434" t="s">
        <v>515</v>
      </c>
      <c r="B12" s="378">
        <f t="shared" ref="B12:D12" si="4">SUM(B5:B11)</f>
        <v>1236473</v>
      </c>
      <c r="C12" s="378">
        <f t="shared" si="4"/>
        <v>1142670</v>
      </c>
      <c r="D12" s="378">
        <f t="shared" si="4"/>
        <v>1152258</v>
      </c>
      <c r="E12" s="378"/>
      <c r="F12" s="379"/>
      <c r="G12" s="435"/>
      <c r="H12" s="379">
        <f>(D12/B12)^(1/2)-1</f>
        <v>-3.4655009275645798E-2</v>
      </c>
      <c r="I12" s="366" t="s">
        <v>444</v>
      </c>
      <c r="J12" s="380" t="s">
        <v>445</v>
      </c>
    </row>
    <row r="13" spans="1:10" ht="12.75" customHeight="1" x14ac:dyDescent="0.3">
      <c r="I13" s="366"/>
      <c r="J13" s="366"/>
    </row>
    <row r="14" spans="1:10" ht="39" customHeight="1" x14ac:dyDescent="0.3">
      <c r="A14" s="367" t="s">
        <v>62</v>
      </c>
      <c r="B14" s="609" t="s">
        <v>446</v>
      </c>
      <c r="C14" s="546"/>
      <c r="D14" s="534"/>
      <c r="E14" s="430"/>
      <c r="F14" s="608" t="s">
        <v>437</v>
      </c>
      <c r="G14" s="534"/>
      <c r="H14" s="436" t="s">
        <v>438</v>
      </c>
      <c r="I14" s="382" t="s">
        <v>447</v>
      </c>
      <c r="J14" s="373" t="s">
        <v>448</v>
      </c>
    </row>
    <row r="15" spans="1:10" ht="12.75" customHeight="1" x14ac:dyDescent="0.3">
      <c r="A15" s="370"/>
      <c r="B15" s="437">
        <v>2019</v>
      </c>
      <c r="C15" s="437">
        <v>2020</v>
      </c>
      <c r="D15" s="437">
        <v>2021</v>
      </c>
      <c r="E15" s="437"/>
      <c r="F15" s="437">
        <v>2020</v>
      </c>
      <c r="G15" s="437">
        <v>2021</v>
      </c>
      <c r="H15" s="437" t="s">
        <v>440</v>
      </c>
      <c r="I15" s="362"/>
      <c r="J15" s="384" t="s">
        <v>449</v>
      </c>
    </row>
    <row r="16" spans="1:10" ht="12.75" customHeight="1" x14ac:dyDescent="0.3">
      <c r="A16" s="374" t="s">
        <v>93</v>
      </c>
      <c r="B16" s="375">
        <v>15292</v>
      </c>
      <c r="C16" s="375">
        <v>28180</v>
      </c>
      <c r="D16" s="375">
        <v>22900</v>
      </c>
      <c r="E16" s="375"/>
      <c r="F16" s="61">
        <f t="shared" ref="F16:G16" si="5">C16/B16-1</f>
        <v>0.84279361757781857</v>
      </c>
      <c r="G16" s="61">
        <f t="shared" si="5"/>
        <v>-0.18736692689850953</v>
      </c>
      <c r="H16" s="376">
        <f t="shared" ref="H16:H18" si="6">(D16/B16)^(1/2)-1</f>
        <v>0.22372997043631959</v>
      </c>
      <c r="I16" s="362" t="s">
        <v>450</v>
      </c>
      <c r="J16" s="385"/>
    </row>
    <row r="17" spans="1:10" ht="12.75" customHeight="1" x14ac:dyDescent="0.3">
      <c r="A17" s="374" t="s">
        <v>95</v>
      </c>
      <c r="B17" s="375">
        <v>57129</v>
      </c>
      <c r="C17" s="375">
        <v>77271</v>
      </c>
      <c r="D17" s="375">
        <v>115454</v>
      </c>
      <c r="E17" s="375"/>
      <c r="F17" s="61">
        <f t="shared" ref="F17:G17" si="7">C17/B17-1</f>
        <v>0.35257049834584886</v>
      </c>
      <c r="G17" s="61">
        <f t="shared" si="7"/>
        <v>0.49414398674793913</v>
      </c>
      <c r="H17" s="376">
        <f t="shared" si="6"/>
        <v>0.42159596114933917</v>
      </c>
      <c r="I17" s="366"/>
      <c r="J17" s="380" t="s">
        <v>451</v>
      </c>
    </row>
    <row r="18" spans="1:10" ht="38.25" customHeight="1" x14ac:dyDescent="0.3">
      <c r="A18" s="374" t="s">
        <v>96</v>
      </c>
      <c r="B18" s="375">
        <v>148760</v>
      </c>
      <c r="C18" s="375">
        <v>52380</v>
      </c>
      <c r="D18" s="375">
        <v>70270</v>
      </c>
      <c r="E18" s="375"/>
      <c r="F18" s="61">
        <f t="shared" ref="F18:G18" si="8">C18/B18-1</f>
        <v>-0.64788921753159445</v>
      </c>
      <c r="G18" s="61">
        <f t="shared" si="8"/>
        <v>0.34154257350133643</v>
      </c>
      <c r="H18" s="376">
        <f t="shared" si="6"/>
        <v>-0.31270704552553874</v>
      </c>
      <c r="I18" s="386" t="s">
        <v>452</v>
      </c>
      <c r="J18" s="380" t="s">
        <v>453</v>
      </c>
    </row>
    <row r="19" spans="1:10" ht="29.25" customHeight="1" x14ac:dyDescent="0.3">
      <c r="A19" s="374" t="s">
        <v>97</v>
      </c>
      <c r="B19" s="375"/>
      <c r="C19" s="375"/>
      <c r="D19" s="375">
        <v>0</v>
      </c>
      <c r="E19" s="375"/>
      <c r="F19" s="61"/>
      <c r="G19" s="61"/>
      <c r="H19" s="376"/>
      <c r="I19" s="387" t="s">
        <v>454</v>
      </c>
      <c r="J19" s="373" t="s">
        <v>455</v>
      </c>
    </row>
    <row r="20" spans="1:10" ht="12.75" customHeight="1" x14ac:dyDescent="0.3">
      <c r="A20" s="374" t="s">
        <v>98</v>
      </c>
      <c r="B20" s="375">
        <v>85</v>
      </c>
      <c r="C20" s="375">
        <v>0</v>
      </c>
      <c r="D20" s="375"/>
      <c r="E20" s="375"/>
      <c r="F20" s="61">
        <f t="shared" ref="F20:F21" si="9">C20/B20-1</f>
        <v>-1</v>
      </c>
      <c r="G20" s="61"/>
      <c r="H20" s="376">
        <f t="shared" ref="H20:H21" si="10">(D20/B20)^(1/2)-1</f>
        <v>-1</v>
      </c>
      <c r="I20" s="386" t="s">
        <v>456</v>
      </c>
      <c r="J20" s="366"/>
    </row>
    <row r="21" spans="1:10" ht="12.75" customHeight="1" x14ac:dyDescent="0.3">
      <c r="A21" s="374" t="s">
        <v>275</v>
      </c>
      <c r="B21" s="438">
        <v>2180</v>
      </c>
      <c r="C21" s="375"/>
      <c r="D21" s="375"/>
      <c r="E21" s="375"/>
      <c r="F21" s="61">
        <f t="shared" si="9"/>
        <v>-1</v>
      </c>
      <c r="G21" s="61"/>
      <c r="H21" s="376">
        <f t="shared" si="10"/>
        <v>-1</v>
      </c>
      <c r="I21" s="386" t="s">
        <v>457</v>
      </c>
      <c r="J21" s="366"/>
    </row>
    <row r="22" spans="1:10" ht="12.75" customHeight="1" x14ac:dyDescent="0.3">
      <c r="A22" s="374" t="s">
        <v>276</v>
      </c>
      <c r="B22" s="375"/>
      <c r="C22" s="375">
        <v>260</v>
      </c>
      <c r="D22" s="375">
        <v>2939</v>
      </c>
      <c r="E22" s="375"/>
      <c r="F22" s="61"/>
      <c r="G22" s="61"/>
      <c r="H22" s="376"/>
      <c r="I22" s="386" t="s">
        <v>456</v>
      </c>
      <c r="J22" s="366" t="s">
        <v>458</v>
      </c>
    </row>
    <row r="23" spans="1:10" ht="12.75" customHeight="1" x14ac:dyDescent="0.3">
      <c r="A23" s="434" t="s">
        <v>515</v>
      </c>
      <c r="B23" s="378">
        <f t="shared" ref="B23:D23" si="11">SUM(B16:B22)</f>
        <v>223446</v>
      </c>
      <c r="C23" s="378">
        <f t="shared" si="11"/>
        <v>158091</v>
      </c>
      <c r="D23" s="378">
        <f t="shared" si="11"/>
        <v>211563</v>
      </c>
      <c r="E23" s="378"/>
      <c r="F23" s="379"/>
      <c r="G23" s="379"/>
      <c r="H23" s="379">
        <f>(D23/B23)^(1/2)-1</f>
        <v>-2.6953564441655531E-2</v>
      </c>
      <c r="I23" s="362"/>
      <c r="J23" s="366"/>
    </row>
    <row r="24" spans="1:10" ht="12.75" customHeight="1" x14ac:dyDescent="0.3">
      <c r="A24" s="374"/>
      <c r="B24" s="388"/>
      <c r="C24" s="388"/>
      <c r="D24" s="388"/>
      <c r="E24" s="388"/>
      <c r="F24" s="61"/>
      <c r="G24" s="61"/>
      <c r="H24" s="376"/>
      <c r="I24" s="366"/>
      <c r="J24" s="366"/>
    </row>
    <row r="25" spans="1:10" ht="12.75" customHeight="1" x14ac:dyDescent="0.3">
      <c r="A25" s="367" t="s">
        <v>62</v>
      </c>
      <c r="B25" s="609" t="s">
        <v>459</v>
      </c>
      <c r="C25" s="546"/>
      <c r="D25" s="534"/>
      <c r="E25" s="430"/>
      <c r="F25" s="608" t="s">
        <v>437</v>
      </c>
      <c r="G25" s="534"/>
      <c r="H25" s="431" t="s">
        <v>438</v>
      </c>
      <c r="I25" s="366"/>
      <c r="J25" s="366"/>
    </row>
    <row r="26" spans="1:10" ht="12.75" customHeight="1" x14ac:dyDescent="0.3">
      <c r="A26" s="370"/>
      <c r="B26" s="437">
        <v>2019</v>
      </c>
      <c r="C26" s="437">
        <v>2020</v>
      </c>
      <c r="D26" s="437">
        <v>2021</v>
      </c>
      <c r="E26" s="437"/>
      <c r="F26" s="437">
        <v>2020</v>
      </c>
      <c r="G26" s="437">
        <v>2021</v>
      </c>
      <c r="H26" s="439" t="s">
        <v>440</v>
      </c>
      <c r="I26" s="366"/>
      <c r="J26" s="366"/>
    </row>
    <row r="27" spans="1:10" ht="12.75" customHeight="1" x14ac:dyDescent="0.3">
      <c r="A27" s="374" t="s">
        <v>93</v>
      </c>
      <c r="B27" s="375">
        <v>30670</v>
      </c>
      <c r="C27" s="438">
        <f>'Stryker Data(19-21)'!E16</f>
        <v>22273</v>
      </c>
      <c r="D27" s="375">
        <f>'Stryker Data(19-21)'!E27</f>
        <v>22180</v>
      </c>
      <c r="E27" s="375"/>
      <c r="F27" s="61">
        <f t="shared" ref="F27:G27" si="12">C27/B27-1</f>
        <v>-0.2737854581023802</v>
      </c>
      <c r="G27" s="61">
        <f t="shared" si="12"/>
        <v>-4.1754590760113564E-3</v>
      </c>
      <c r="H27" s="376">
        <f t="shared" ref="H27:H29" si="13">(D27/B27)^(1/2)-1</f>
        <v>-0.1495987636429954</v>
      </c>
      <c r="I27" s="366"/>
      <c r="J27" s="373" t="s">
        <v>460</v>
      </c>
    </row>
    <row r="28" spans="1:10" ht="12.75" customHeight="1" x14ac:dyDescent="0.3">
      <c r="A28" s="440" t="s">
        <v>95</v>
      </c>
      <c r="B28" s="438">
        <f>'Stryker Data(19-21)'!E5</f>
        <v>103103</v>
      </c>
      <c r="C28" s="438">
        <f>'Stryker Data(19-21)'!E17</f>
        <v>84808</v>
      </c>
      <c r="D28" s="375">
        <v>93013</v>
      </c>
      <c r="E28" s="375"/>
      <c r="F28" s="61">
        <f t="shared" ref="F28:G28" si="14">C28/B28-1</f>
        <v>-0.17744391530799297</v>
      </c>
      <c r="G28" s="61">
        <f t="shared" si="14"/>
        <v>9.6747948306763476E-2</v>
      </c>
      <c r="H28" s="376">
        <f t="shared" si="13"/>
        <v>-5.0191230692618216E-2</v>
      </c>
      <c r="I28" s="366"/>
      <c r="J28" s="366"/>
    </row>
    <row r="29" spans="1:10" ht="12.75" customHeight="1" x14ac:dyDescent="0.3">
      <c r="A29" s="374" t="s">
        <v>96</v>
      </c>
      <c r="B29" s="438">
        <v>127052</v>
      </c>
      <c r="C29" s="375">
        <v>73847</v>
      </c>
      <c r="D29" s="375">
        <v>96069</v>
      </c>
      <c r="E29" s="375"/>
      <c r="F29" s="61">
        <f t="shared" ref="F29:G29" si="15">C29/B29-1</f>
        <v>-0.41876554481629569</v>
      </c>
      <c r="G29" s="61">
        <f t="shared" si="15"/>
        <v>0.30091946863108854</v>
      </c>
      <c r="H29" s="376">
        <f t="shared" si="13"/>
        <v>-0.13043734062020296</v>
      </c>
      <c r="I29" s="366"/>
      <c r="J29" s="366"/>
    </row>
    <row r="30" spans="1:10" ht="12.75" customHeight="1" x14ac:dyDescent="0.3">
      <c r="A30" s="374" t="s">
        <v>97</v>
      </c>
      <c r="B30" s="375">
        <f>'Stryker Data(19-21)'!E7</f>
        <v>2004</v>
      </c>
      <c r="C30" s="375">
        <f>'Stryker Data(19-21)'!E19</f>
        <v>6022</v>
      </c>
      <c r="D30" s="375">
        <f>'Stryker Data(19-21)'!E30</f>
        <v>1960</v>
      </c>
      <c r="E30" s="375"/>
      <c r="F30" s="61"/>
      <c r="G30" s="61"/>
      <c r="H30" s="376"/>
      <c r="I30" s="366"/>
      <c r="J30" s="366"/>
    </row>
    <row r="31" spans="1:10" ht="12.75" customHeight="1" x14ac:dyDescent="0.3">
      <c r="A31" s="440" t="s">
        <v>98</v>
      </c>
      <c r="B31" s="438">
        <f>'Stryker Data(19-21)'!E8</f>
        <v>1918</v>
      </c>
      <c r="C31" s="438">
        <f>'Stryker Data(19-21)'!E20</f>
        <v>1851</v>
      </c>
      <c r="D31" s="375">
        <f>'Stryker Data(19-21)'!E31</f>
        <v>49</v>
      </c>
      <c r="E31" s="375"/>
      <c r="F31" s="61">
        <f t="shared" ref="F31:F32" si="16">C31/B31-1</f>
        <v>-3.4932221063607938E-2</v>
      </c>
      <c r="G31" s="61"/>
      <c r="H31" s="376">
        <f t="shared" ref="H31:H32" si="17">(D31/B31)^(1/2)-1</f>
        <v>-0.84016431795285995</v>
      </c>
      <c r="I31" s="366"/>
      <c r="J31" s="366"/>
    </row>
    <row r="32" spans="1:10" ht="12.75" customHeight="1" x14ac:dyDescent="0.3">
      <c r="A32" s="374" t="s">
        <v>275</v>
      </c>
      <c r="B32" s="375">
        <f>'Stryker Data(19-21)'!E9</f>
        <v>18704</v>
      </c>
      <c r="C32" s="375">
        <f>'Stryker Data(19-21)'!E21</f>
        <v>378</v>
      </c>
      <c r="D32" s="375">
        <f>'Stryker Data(19-21)'!E32</f>
        <v>100</v>
      </c>
      <c r="E32" s="375"/>
      <c r="F32" s="61">
        <f t="shared" si="16"/>
        <v>-0.97979041916167664</v>
      </c>
      <c r="G32" s="61"/>
      <c r="H32" s="376">
        <f t="shared" si="17"/>
        <v>-0.9268805774282346</v>
      </c>
      <c r="I32" s="366"/>
      <c r="J32" s="366"/>
    </row>
    <row r="33" spans="1:10" ht="12.75" customHeight="1" x14ac:dyDescent="0.3">
      <c r="A33" s="374" t="s">
        <v>276</v>
      </c>
      <c r="B33" s="375">
        <f>'Stryker Data(19-21)'!E10</f>
        <v>2543</v>
      </c>
      <c r="C33" s="375">
        <v>2374</v>
      </c>
      <c r="D33" s="375">
        <v>5200</v>
      </c>
      <c r="E33" s="375"/>
      <c r="F33" s="61"/>
      <c r="G33" s="61"/>
      <c r="H33" s="376"/>
      <c r="I33" s="366"/>
      <c r="J33" s="366"/>
    </row>
    <row r="34" spans="1:10" ht="12.75" customHeight="1" x14ac:dyDescent="0.3">
      <c r="A34" s="434" t="s">
        <v>515</v>
      </c>
      <c r="B34" s="378">
        <f t="shared" ref="B34:D34" si="18">SUM(B27:B33)</f>
        <v>285994</v>
      </c>
      <c r="C34" s="378">
        <f t="shared" si="18"/>
        <v>191553</v>
      </c>
      <c r="D34" s="378">
        <f t="shared" si="18"/>
        <v>218571</v>
      </c>
      <c r="E34" s="378"/>
      <c r="F34" s="379">
        <f t="shared" ref="F34:G34" si="19">C34/B34-1</f>
        <v>-0.33022021441009253</v>
      </c>
      <c r="G34" s="379">
        <f t="shared" si="19"/>
        <v>0.14104712533867914</v>
      </c>
      <c r="H34" s="379">
        <f>(D34/B34)^(1/2)-1</f>
        <v>-0.12578589638617654</v>
      </c>
      <c r="I34" s="366"/>
      <c r="J34" s="366"/>
    </row>
    <row r="35" spans="1:10" ht="12.75" customHeight="1" x14ac:dyDescent="0.3">
      <c r="A35" s="374"/>
      <c r="B35" s="388"/>
      <c r="C35" s="388"/>
      <c r="D35" s="388"/>
      <c r="E35" s="388"/>
      <c r="F35" s="61"/>
      <c r="G35" s="61"/>
      <c r="H35" s="376"/>
      <c r="I35" s="366"/>
      <c r="J35" s="366"/>
    </row>
    <row r="36" spans="1:10" ht="12.75" customHeight="1" x14ac:dyDescent="0.3">
      <c r="A36" s="367" t="s">
        <v>62</v>
      </c>
      <c r="B36" s="609" t="s">
        <v>461</v>
      </c>
      <c r="C36" s="546"/>
      <c r="D36" s="534"/>
      <c r="E36" s="430"/>
      <c r="F36" s="608" t="s">
        <v>437</v>
      </c>
      <c r="G36" s="534"/>
      <c r="H36" s="431" t="s">
        <v>438</v>
      </c>
      <c r="I36" s="366"/>
      <c r="J36" s="366"/>
    </row>
    <row r="37" spans="1:10" ht="12.75" customHeight="1" x14ac:dyDescent="0.3">
      <c r="A37" s="370"/>
      <c r="B37" s="437">
        <v>2019</v>
      </c>
      <c r="C37" s="437">
        <v>2020</v>
      </c>
      <c r="D37" s="437">
        <v>2021</v>
      </c>
      <c r="E37" s="437"/>
      <c r="F37" s="437">
        <v>2020</v>
      </c>
      <c r="G37" s="437">
        <v>2021</v>
      </c>
      <c r="H37" s="439" t="s">
        <v>440</v>
      </c>
      <c r="I37" s="366"/>
      <c r="J37" s="366"/>
    </row>
    <row r="38" spans="1:10" ht="12.75" customHeight="1" x14ac:dyDescent="0.3">
      <c r="A38" s="374" t="s">
        <v>93</v>
      </c>
      <c r="B38" s="392">
        <f t="shared" ref="B38:D38" si="20">IFERROR(B16*B49,"")</f>
        <v>122921.06074151985</v>
      </c>
      <c r="C38" s="392">
        <f t="shared" si="20"/>
        <v>257876.47032221593</v>
      </c>
      <c r="D38" s="392">
        <f t="shared" si="20"/>
        <v>250262.86397218602</v>
      </c>
      <c r="E38" s="392"/>
      <c r="F38" s="61">
        <f t="shared" ref="F38:G38" si="21">C38/B38-1</f>
        <v>1.0979030669486511</v>
      </c>
      <c r="G38" s="61">
        <f t="shared" si="21"/>
        <v>-2.9524238254528323E-2</v>
      </c>
      <c r="H38" s="376">
        <f t="shared" ref="H38:H40" si="22">(D38/B38)^(1/2)-1</f>
        <v>0.42687213055871043</v>
      </c>
      <c r="I38" s="366"/>
      <c r="J38" s="366"/>
    </row>
    <row r="39" spans="1:10" ht="12.75" customHeight="1" x14ac:dyDescent="0.3">
      <c r="A39" s="374" t="s">
        <v>95</v>
      </c>
      <c r="B39" s="392">
        <f t="shared" ref="B39:D39" si="23">IFERROR(B17*B50,"")</f>
        <v>430089.21358240221</v>
      </c>
      <c r="C39" s="392">
        <f t="shared" si="23"/>
        <v>649421.12965264602</v>
      </c>
      <c r="D39" s="392">
        <f t="shared" si="23"/>
        <v>1032875.3767798729</v>
      </c>
      <c r="E39" s="392"/>
      <c r="F39" s="61">
        <f t="shared" ref="F39:G39" si="24">C39/B39-1</f>
        <v>0.50996841851329355</v>
      </c>
      <c r="G39" s="61">
        <f t="shared" si="24"/>
        <v>0.59045545273884747</v>
      </c>
      <c r="H39" s="376">
        <f t="shared" si="22"/>
        <v>0.54968948653848781</v>
      </c>
      <c r="I39" s="366"/>
      <c r="J39" s="366"/>
    </row>
    <row r="40" spans="1:10" ht="12.75" customHeight="1" x14ac:dyDescent="0.3">
      <c r="A40" s="374" t="s">
        <v>96</v>
      </c>
      <c r="B40" s="392">
        <f t="shared" ref="B40:D40" si="25">IFERROR(B18*B51,"")</f>
        <v>800032.32807915006</v>
      </c>
      <c r="C40" s="392">
        <f t="shared" si="25"/>
        <v>265749.03378586017</v>
      </c>
      <c r="D40" s="392">
        <f t="shared" si="25"/>
        <v>380006.98273675417</v>
      </c>
      <c r="E40" s="392"/>
      <c r="F40" s="61">
        <f t="shared" ref="F40:G40" si="26">C40/B40-1</f>
        <v>-0.66782713090617918</v>
      </c>
      <c r="G40" s="61">
        <f t="shared" si="26"/>
        <v>0.42994680854780731</v>
      </c>
      <c r="H40" s="376">
        <f t="shared" si="22"/>
        <v>-0.31080515523773866</v>
      </c>
      <c r="I40" s="366"/>
      <c r="J40" s="366"/>
    </row>
    <row r="41" spans="1:10" ht="12.75" customHeight="1" x14ac:dyDescent="0.3">
      <c r="A41" s="374" t="s">
        <v>97</v>
      </c>
      <c r="B41" s="392" t="str">
        <f t="shared" ref="B41:D41" si="27">IFERROR(B19*B52,"")</f>
        <v/>
      </c>
      <c r="C41" s="392" t="str">
        <f t="shared" si="27"/>
        <v/>
      </c>
      <c r="D41" s="392" t="str">
        <f t="shared" si="27"/>
        <v/>
      </c>
      <c r="E41" s="392"/>
      <c r="F41" s="61"/>
      <c r="G41" s="61"/>
      <c r="H41" s="376"/>
      <c r="I41" s="366"/>
      <c r="J41" s="366"/>
    </row>
    <row r="42" spans="1:10" ht="12.75" customHeight="1" x14ac:dyDescent="0.3">
      <c r="A42" s="374" t="s">
        <v>98</v>
      </c>
      <c r="B42" s="392">
        <f t="shared" ref="B42:D42" si="28">IFERROR(B20*B53,"")</f>
        <v>383</v>
      </c>
      <c r="C42" s="392" t="str">
        <f t="shared" si="28"/>
        <v/>
      </c>
      <c r="D42" s="392" t="str">
        <f t="shared" si="28"/>
        <v/>
      </c>
      <c r="E42" s="392"/>
      <c r="F42" s="61" t="e">
        <f t="shared" ref="F42:F43" si="29">C42/B42-1</f>
        <v>#VALUE!</v>
      </c>
      <c r="G42" s="61"/>
      <c r="H42" s="376" t="e">
        <f t="shared" ref="H42:H43" si="30">(D42/B42)^(1/2)-1</f>
        <v>#VALUE!</v>
      </c>
      <c r="I42" s="366"/>
      <c r="J42" s="366"/>
    </row>
    <row r="43" spans="1:10" ht="12.75" customHeight="1" x14ac:dyDescent="0.3">
      <c r="A43" s="374" t="s">
        <v>275</v>
      </c>
      <c r="B43" s="392">
        <f t="shared" ref="B43:D43" si="31">IFERROR(B21*B54,"")</f>
        <v>4055</v>
      </c>
      <c r="C43" s="392" t="str">
        <f t="shared" si="31"/>
        <v/>
      </c>
      <c r="D43" s="392" t="str">
        <f t="shared" si="31"/>
        <v/>
      </c>
      <c r="E43" s="392"/>
      <c r="F43" s="61" t="e">
        <f t="shared" si="29"/>
        <v>#VALUE!</v>
      </c>
      <c r="G43" s="61"/>
      <c r="H43" s="376" t="e">
        <f t="shared" si="30"/>
        <v>#VALUE!</v>
      </c>
      <c r="I43" s="366"/>
      <c r="J43" s="366"/>
    </row>
    <row r="44" spans="1:10" ht="12.75" customHeight="1" x14ac:dyDescent="0.3">
      <c r="A44" s="374" t="s">
        <v>276</v>
      </c>
      <c r="B44" s="392" t="str">
        <f t="shared" ref="B44:D44" si="32">IFERROR(B22*B55,"")</f>
        <v/>
      </c>
      <c r="C44" s="392" t="str">
        <f t="shared" si="32"/>
        <v/>
      </c>
      <c r="D44" s="392" t="str">
        <f t="shared" si="32"/>
        <v/>
      </c>
      <c r="E44" s="392"/>
      <c r="F44" s="61"/>
      <c r="G44" s="61"/>
      <c r="H44" s="376"/>
      <c r="I44" s="366"/>
      <c r="J44" s="366"/>
    </row>
    <row r="45" spans="1:10" ht="12.75" customHeight="1" x14ac:dyDescent="0.3">
      <c r="A45" s="434" t="s">
        <v>515</v>
      </c>
      <c r="B45" s="393">
        <f t="shared" ref="B45:D45" si="33">SUM(B38:B44)</f>
        <v>1357480.6024030722</v>
      </c>
      <c r="C45" s="393">
        <f t="shared" si="33"/>
        <v>1173046.6337607221</v>
      </c>
      <c r="D45" s="394">
        <f t="shared" si="33"/>
        <v>1663145.2234888133</v>
      </c>
      <c r="E45" s="394"/>
      <c r="F45" s="379">
        <f t="shared" ref="F45:G45" si="34">C45/B45-1</f>
        <v>-0.13586490172740362</v>
      </c>
      <c r="G45" s="379">
        <f t="shared" si="34"/>
        <v>0.41779974949236443</v>
      </c>
      <c r="H45" s="379">
        <f>(D45/B45)^(1/2)-1</f>
        <v>0.10687421410856213</v>
      </c>
      <c r="I45" s="366"/>
      <c r="J45" s="366"/>
    </row>
    <row r="46" spans="1:10" ht="12.75" customHeight="1" x14ac:dyDescent="0.3">
      <c r="A46" s="374"/>
      <c r="B46" s="395"/>
      <c r="C46" s="395"/>
      <c r="D46" s="395"/>
      <c r="E46" s="395"/>
      <c r="F46" s="61"/>
      <c r="G46" s="61"/>
      <c r="H46" s="376"/>
      <c r="I46" s="366"/>
      <c r="J46" s="366"/>
    </row>
    <row r="47" spans="1:10" ht="12.75" customHeight="1" x14ac:dyDescent="0.3">
      <c r="A47" s="367" t="s">
        <v>62</v>
      </c>
      <c r="B47" s="609" t="s">
        <v>462</v>
      </c>
      <c r="C47" s="546"/>
      <c r="D47" s="534"/>
      <c r="E47" s="430"/>
      <c r="F47" s="608" t="s">
        <v>437</v>
      </c>
      <c r="G47" s="534"/>
      <c r="H47" s="431" t="s">
        <v>438</v>
      </c>
      <c r="I47" s="366"/>
      <c r="J47" s="366"/>
    </row>
    <row r="48" spans="1:10" ht="12.75" customHeight="1" x14ac:dyDescent="0.3">
      <c r="A48" s="370"/>
      <c r="B48" s="437">
        <v>2019</v>
      </c>
      <c r="C48" s="437">
        <v>2020</v>
      </c>
      <c r="D48" s="437">
        <v>2021</v>
      </c>
      <c r="E48" s="437"/>
      <c r="F48" s="437">
        <v>2020</v>
      </c>
      <c r="G48" s="437">
        <v>2021</v>
      </c>
      <c r="H48" s="439" t="s">
        <v>440</v>
      </c>
      <c r="I48" s="366"/>
      <c r="J48" s="366"/>
    </row>
    <row r="49" spans="1:10" ht="12.75" customHeight="1" x14ac:dyDescent="0.3">
      <c r="A49" s="374" t="s">
        <v>93</v>
      </c>
      <c r="B49" s="396">
        <f>IFERROR('Stryker Data(19-21)'!L4,"")</f>
        <v>8.0382592689981589</v>
      </c>
      <c r="C49" s="396">
        <f>IFERROR('Stryker Data(19-21)'!L16,"")</f>
        <v>9.1510457885811185</v>
      </c>
      <c r="D49" s="396">
        <f>IFERROR('Stryker Data(19-21)'!L27,"")</f>
        <v>10.928509343763581</v>
      </c>
      <c r="E49" s="396"/>
      <c r="F49" s="61">
        <f t="shared" ref="F49:G49" si="35">C49/B49-1</f>
        <v>0.13843625620222766</v>
      </c>
      <c r="G49" s="61">
        <f t="shared" si="35"/>
        <v>0.19423611205185121</v>
      </c>
      <c r="H49" s="397">
        <f t="shared" ref="H49:H51" si="36">(D49/B49)^(1/2)-1</f>
        <v>0.16600243928810587</v>
      </c>
      <c r="I49" s="366" t="s">
        <v>516</v>
      </c>
      <c r="J49" s="366"/>
    </row>
    <row r="50" spans="1:10" ht="12.75" customHeight="1" x14ac:dyDescent="0.3">
      <c r="A50" s="374" t="s">
        <v>95</v>
      </c>
      <c r="B50" s="396">
        <f>IFERROR('Stryker Data(19-21)'!L5,"")</f>
        <v>7.5283868715083795</v>
      </c>
      <c r="C50" s="396">
        <f>IFERROR('Stryker Data(19-21)'!L17,"")</f>
        <v>8.4044613069928698</v>
      </c>
      <c r="D50" s="396">
        <f>IFERROR('Stryker Data(19-21)'!L28,"")</f>
        <v>8.946206946315181</v>
      </c>
      <c r="E50" s="396"/>
      <c r="F50" s="61">
        <f t="shared" ref="F50:G50" si="37">C50/B50-1</f>
        <v>0.1163694760161762</v>
      </c>
      <c r="G50" s="61">
        <f t="shared" si="37"/>
        <v>6.4459293645811266E-2</v>
      </c>
      <c r="H50" s="397">
        <f t="shared" si="36"/>
        <v>9.0105437050895132E-2</v>
      </c>
      <c r="I50" s="366"/>
      <c r="J50" s="366"/>
    </row>
    <row r="51" spans="1:10" ht="12.75" customHeight="1" x14ac:dyDescent="0.3">
      <c r="A51" s="374" t="s">
        <v>96</v>
      </c>
      <c r="B51" s="396">
        <f>IFERROR('Stryker Data(19-21)'!L6,"")</f>
        <v>5.3780070454366093</v>
      </c>
      <c r="C51" s="396">
        <f>IFERROR('Stryker Data(19-21)'!L18,"")</f>
        <v>5.0734828901462423</v>
      </c>
      <c r="D51" s="396">
        <f>IFERROR('Stryker Data(19-21)'!L29,"")</f>
        <v>5.407812476686412</v>
      </c>
      <c r="E51" s="396"/>
      <c r="F51" s="61">
        <f t="shared" ref="F51:G51" si="38">C51/B51-1</f>
        <v>-5.6623978495670468E-2</v>
      </c>
      <c r="G51" s="61">
        <f t="shared" si="38"/>
        <v>6.5897450287948578E-2</v>
      </c>
      <c r="H51" s="397">
        <f t="shared" si="36"/>
        <v>2.7672192409631258E-3</v>
      </c>
      <c r="I51" s="366"/>
      <c r="J51" s="366"/>
    </row>
    <row r="52" spans="1:10" ht="12.75" customHeight="1" x14ac:dyDescent="0.3">
      <c r="A52" s="374" t="s">
        <v>97</v>
      </c>
      <c r="B52" s="396" t="str">
        <f>IFERROR('Stryker Data(19-21)'!L7,"")</f>
        <v/>
      </c>
      <c r="C52" s="396" t="str">
        <f>IFERROR('Stryker Data(19-21)'!L19,"")</f>
        <v/>
      </c>
      <c r="D52" s="396" t="str">
        <f>IFERROR('Stryker Data(19-21)'!L30,"")</f>
        <v/>
      </c>
      <c r="E52" s="396"/>
      <c r="F52" s="61"/>
      <c r="G52" s="61"/>
      <c r="H52" s="376"/>
      <c r="I52" s="366"/>
      <c r="J52" s="366"/>
    </row>
    <row r="53" spans="1:10" ht="12.75" customHeight="1" x14ac:dyDescent="0.3">
      <c r="A53" s="374" t="s">
        <v>98</v>
      </c>
      <c r="B53" s="396">
        <f>IFERROR('Stryker Data(19-21)'!L8,"")</f>
        <v>4.5058823529411764</v>
      </c>
      <c r="C53" s="396" t="str">
        <f>IFERROR('Stryker Data(19-21)'!L20,"")</f>
        <v/>
      </c>
      <c r="D53" s="396" t="str">
        <f>IFERROR('Stryker Data(19-21)'!L31,"")</f>
        <v/>
      </c>
      <c r="E53" s="396"/>
      <c r="F53" s="61" t="e">
        <f t="shared" ref="F53:F54" si="39">C53/B53-1</f>
        <v>#VALUE!</v>
      </c>
      <c r="G53" s="61"/>
      <c r="H53" s="376" t="e">
        <f t="shared" ref="H53:H54" si="40">(D53/B53)^(1/2)-1</f>
        <v>#VALUE!</v>
      </c>
      <c r="I53" s="366"/>
      <c r="J53" s="366"/>
    </row>
    <row r="54" spans="1:10" ht="12.75" customHeight="1" x14ac:dyDescent="0.3">
      <c r="A54" s="374" t="s">
        <v>275</v>
      </c>
      <c r="B54" s="396">
        <f>IFERROR('Stryker Data(19-21)'!L9,"")</f>
        <v>1.8600917431192661</v>
      </c>
      <c r="C54" s="396" t="str">
        <f>IFERROR('Stryker Data(19-21)'!L21,"")</f>
        <v/>
      </c>
      <c r="D54" s="396" t="str">
        <f>IFERROR('Stryker Data(19-21)'!L32,"")</f>
        <v/>
      </c>
      <c r="E54" s="396"/>
      <c r="F54" s="61" t="e">
        <f t="shared" si="39"/>
        <v>#VALUE!</v>
      </c>
      <c r="G54" s="61"/>
      <c r="H54" s="376" t="e">
        <f t="shared" si="40"/>
        <v>#VALUE!</v>
      </c>
      <c r="I54" s="366"/>
      <c r="J54" s="366"/>
    </row>
    <row r="55" spans="1:10" ht="12.75" customHeight="1" x14ac:dyDescent="0.3">
      <c r="A55" s="374" t="s">
        <v>276</v>
      </c>
      <c r="B55" s="396" t="str">
        <f>IFERROR('Stryker Data(19-21)'!L10,"")</f>
        <v/>
      </c>
      <c r="C55" s="396" t="str">
        <f>IFERROR('Stryker Data(19-21)'!L22,"")</f>
        <v/>
      </c>
      <c r="D55" s="396" t="str">
        <f>IFERROR('Stryker Data(19-21)'!L33,"")</f>
        <v/>
      </c>
      <c r="E55" s="396"/>
      <c r="F55" s="61"/>
      <c r="G55" s="61"/>
      <c r="H55" s="376"/>
      <c r="I55" s="366"/>
      <c r="J55" s="366"/>
    </row>
    <row r="56" spans="1:10" ht="12.75" customHeight="1" x14ac:dyDescent="0.3">
      <c r="A56" s="377"/>
      <c r="B56" s="441">
        <f>AVERAGE(B49,B50,B51)</f>
        <v>6.9815510619810484</v>
      </c>
      <c r="C56" s="398">
        <f>C45/C23</f>
        <v>7.4200721974098593</v>
      </c>
      <c r="D56" s="441">
        <f>AVERAGE(D49,D50,D51)</f>
        <v>8.4275095889217244</v>
      </c>
      <c r="E56" s="399"/>
      <c r="F56" s="400">
        <f>C56/B56-1</f>
        <v>6.2811419917392808E-2</v>
      </c>
      <c r="G56" s="400">
        <f>AVERAGE(G49,G50,G51)</f>
        <v>0.10819761866187035</v>
      </c>
      <c r="H56" s="400">
        <f>(D56/B56)^(1/2)-1</f>
        <v>9.8686196688838601E-2</v>
      </c>
      <c r="I56" s="366"/>
      <c r="J56" s="366"/>
    </row>
    <row r="57" spans="1:10" ht="12.75" customHeight="1" x14ac:dyDescent="0.3">
      <c r="A57" s="374"/>
      <c r="B57" s="395"/>
      <c r="C57" s="395"/>
      <c r="D57" s="395"/>
      <c r="E57" s="395"/>
      <c r="F57" s="61"/>
      <c r="G57" s="61"/>
      <c r="H57" s="376"/>
      <c r="I57" s="366"/>
      <c r="J57" s="366"/>
    </row>
    <row r="58" spans="1:10" ht="12.75" customHeight="1" x14ac:dyDescent="0.3">
      <c r="I58" s="366"/>
      <c r="J58" s="366"/>
    </row>
    <row r="59" spans="1:10" ht="12.75" customHeight="1" x14ac:dyDescent="0.3">
      <c r="A59" s="367" t="s">
        <v>62</v>
      </c>
      <c r="B59" s="609" t="s">
        <v>463</v>
      </c>
      <c r="C59" s="546"/>
      <c r="D59" s="534"/>
      <c r="E59" s="430"/>
      <c r="F59" s="608" t="s">
        <v>437</v>
      </c>
      <c r="G59" s="534"/>
      <c r="H59" s="431" t="s">
        <v>438</v>
      </c>
      <c r="I59" s="366"/>
      <c r="J59" s="366"/>
    </row>
    <row r="60" spans="1:10" ht="12.75" customHeight="1" x14ac:dyDescent="0.3">
      <c r="A60" s="370"/>
      <c r="B60" s="437">
        <v>2019</v>
      </c>
      <c r="C60" s="437">
        <v>2020</v>
      </c>
      <c r="D60" s="437">
        <v>2021</v>
      </c>
      <c r="E60" s="437"/>
      <c r="F60" s="437">
        <v>2020</v>
      </c>
      <c r="G60" s="437">
        <v>2021</v>
      </c>
      <c r="H60" s="439" t="s">
        <v>440</v>
      </c>
      <c r="I60" s="366"/>
      <c r="J60" s="366"/>
    </row>
    <row r="61" spans="1:10" ht="12.75" customHeight="1" x14ac:dyDescent="0.3">
      <c r="A61" s="374" t="s">
        <v>93</v>
      </c>
      <c r="B61" s="392">
        <f t="shared" ref="B61:D61" si="41">IFERROR(B16*B72,"")</f>
        <v>93805.744149355771</v>
      </c>
      <c r="C61" s="392">
        <f t="shared" si="41"/>
        <v>138605.03184473337</v>
      </c>
      <c r="D61" s="392">
        <f t="shared" si="41"/>
        <v>71940.434593654936</v>
      </c>
      <c r="E61" s="392"/>
      <c r="F61" s="61">
        <f t="shared" ref="F61:G61" si="42">C61/B61-1</f>
        <v>0.47757510056152852</v>
      </c>
      <c r="G61" s="61">
        <f t="shared" si="42"/>
        <v>-0.48096808870371122</v>
      </c>
      <c r="H61" s="376">
        <f t="shared" ref="H61:H63" si="43">(D61/B61)^(1/2)-1</f>
        <v>-0.12426680516937338</v>
      </c>
      <c r="I61" s="366"/>
      <c r="J61" s="366"/>
    </row>
    <row r="62" spans="1:10" ht="12.75" customHeight="1" x14ac:dyDescent="0.3">
      <c r="A62" s="374" t="s">
        <v>95</v>
      </c>
      <c r="B62" s="392">
        <f t="shared" ref="B62:D62" si="44">IFERROR(B17*B73,"")</f>
        <v>130191.88449720672</v>
      </c>
      <c r="C62" s="392">
        <f t="shared" si="44"/>
        <v>108141.9953162818</v>
      </c>
      <c r="D62" s="392">
        <f t="shared" si="44"/>
        <v>99307.49040311719</v>
      </c>
      <c r="E62" s="392"/>
      <c r="F62" s="61">
        <f t="shared" ref="F62:G62" si="45">C62/B62-1</f>
        <v>-0.16936454423469072</v>
      </c>
      <c r="G62" s="61">
        <f t="shared" si="45"/>
        <v>-8.1693563054079266E-2</v>
      </c>
      <c r="H62" s="376">
        <f t="shared" si="43"/>
        <v>-0.12662843772836752</v>
      </c>
      <c r="I62" s="366"/>
      <c r="J62" s="366"/>
    </row>
    <row r="63" spans="1:10" ht="12.75" customHeight="1" x14ac:dyDescent="0.3">
      <c r="A63" s="374" t="s">
        <v>96</v>
      </c>
      <c r="B63" s="392">
        <f t="shared" ref="B63:D63" si="46">IFERROR(B18*B74,"")</f>
        <v>471952.60272203526</v>
      </c>
      <c r="C63" s="392">
        <f t="shared" si="46"/>
        <v>182839.9938538296</v>
      </c>
      <c r="D63" s="392">
        <f t="shared" si="46"/>
        <v>224469.5628235926</v>
      </c>
      <c r="E63" s="392"/>
      <c r="F63" s="61">
        <f t="shared" ref="F63:G63" si="47">C63/B63-1</f>
        <v>-0.61258822856515449</v>
      </c>
      <c r="G63" s="61">
        <f t="shared" si="47"/>
        <v>0.22768305824295498</v>
      </c>
      <c r="H63" s="376">
        <f t="shared" si="43"/>
        <v>-0.31034873424719078</v>
      </c>
      <c r="I63" s="366"/>
      <c r="J63" s="366"/>
    </row>
    <row r="64" spans="1:10" ht="12.75" customHeight="1" x14ac:dyDescent="0.3">
      <c r="A64" s="374" t="s">
        <v>97</v>
      </c>
      <c r="B64" s="392" t="str">
        <f t="shared" ref="B64:D64" si="48">IFERROR(B19*B75,"")</f>
        <v/>
      </c>
      <c r="C64" s="392" t="str">
        <f t="shared" si="48"/>
        <v/>
      </c>
      <c r="D64" s="392" t="str">
        <f t="shared" si="48"/>
        <v/>
      </c>
      <c r="E64" s="392"/>
      <c r="F64" s="61"/>
      <c r="G64" s="61"/>
      <c r="H64" s="376"/>
      <c r="I64" s="366"/>
      <c r="J64" s="366"/>
    </row>
    <row r="65" spans="1:10" ht="12.75" customHeight="1" x14ac:dyDescent="0.3">
      <c r="A65" s="374" t="s">
        <v>98</v>
      </c>
      <c r="B65" s="392">
        <f t="shared" ref="B65:D65" si="49">IFERROR(B20*B76,"")</f>
        <v>0</v>
      </c>
      <c r="C65" s="392" t="str">
        <f t="shared" si="49"/>
        <v/>
      </c>
      <c r="D65" s="392" t="str">
        <f t="shared" si="49"/>
        <v/>
      </c>
      <c r="E65" s="392"/>
      <c r="F65" s="61" t="e">
        <f t="shared" ref="F65:F66" si="50">C65/B65-1</f>
        <v>#VALUE!</v>
      </c>
      <c r="G65" s="61"/>
      <c r="H65" s="376" t="e">
        <f t="shared" ref="H65:H66" si="51">(D65/B65)^(1/2)-1</f>
        <v>#VALUE!</v>
      </c>
      <c r="I65" s="366"/>
      <c r="J65" s="366"/>
    </row>
    <row r="66" spans="1:10" ht="12.75" customHeight="1" x14ac:dyDescent="0.3">
      <c r="A66" s="374" t="s">
        <v>275</v>
      </c>
      <c r="B66" s="392">
        <f t="shared" ref="B66:D66" si="52">IFERROR(B21*B77,"")</f>
        <v>0</v>
      </c>
      <c r="C66" s="392" t="str">
        <f t="shared" si="52"/>
        <v/>
      </c>
      <c r="D66" s="392" t="str">
        <f t="shared" si="52"/>
        <v/>
      </c>
      <c r="E66" s="392"/>
      <c r="F66" s="61" t="e">
        <f t="shared" si="50"/>
        <v>#VALUE!</v>
      </c>
      <c r="G66" s="61"/>
      <c r="H66" s="376" t="e">
        <f t="shared" si="51"/>
        <v>#VALUE!</v>
      </c>
      <c r="I66" s="366"/>
      <c r="J66" s="366"/>
    </row>
    <row r="67" spans="1:10" ht="12.75" customHeight="1" x14ac:dyDescent="0.3">
      <c r="A67" s="374" t="s">
        <v>276</v>
      </c>
      <c r="B67" s="392" t="str">
        <f t="shared" ref="B67:D67" si="53">IFERROR(B22*B78,"")</f>
        <v/>
      </c>
      <c r="C67" s="392" t="str">
        <f t="shared" si="53"/>
        <v/>
      </c>
      <c r="D67" s="392" t="str">
        <f t="shared" si="53"/>
        <v/>
      </c>
      <c r="E67" s="392"/>
      <c r="F67" s="61"/>
      <c r="G67" s="61"/>
      <c r="H67" s="376"/>
      <c r="I67" s="366"/>
      <c r="J67" s="366"/>
    </row>
    <row r="68" spans="1:10" ht="12.75" customHeight="1" x14ac:dyDescent="0.3">
      <c r="A68" s="377" t="s">
        <v>443</v>
      </c>
      <c r="B68" s="393">
        <f t="shared" ref="B68:D68" si="54">SUM(B61:B67)</f>
        <v>695950.23136859771</v>
      </c>
      <c r="C68" s="393">
        <f t="shared" si="54"/>
        <v>429587.02101484477</v>
      </c>
      <c r="D68" s="393">
        <f t="shared" si="54"/>
        <v>395717.48782036477</v>
      </c>
      <c r="E68" s="393"/>
      <c r="F68" s="379">
        <f t="shared" ref="F68:G68" si="55">C68/B68-1</f>
        <v>-0.38273312996813758</v>
      </c>
      <c r="G68" s="379">
        <f t="shared" si="55"/>
        <v>-7.8842077478196493E-2</v>
      </c>
      <c r="H68" s="379">
        <f>(D68/B68)^(1/2)-1</f>
        <v>-0.24594412167261337</v>
      </c>
      <c r="I68" s="366"/>
      <c r="J68" s="366"/>
    </row>
    <row r="69" spans="1:10" ht="12.75" customHeight="1" x14ac:dyDescent="0.3">
      <c r="I69" s="366"/>
      <c r="J69" s="366"/>
    </row>
    <row r="70" spans="1:10" ht="12.75" customHeight="1" x14ac:dyDescent="0.3">
      <c r="A70" s="367" t="s">
        <v>62</v>
      </c>
      <c r="B70" s="609" t="s">
        <v>464</v>
      </c>
      <c r="C70" s="546"/>
      <c r="D70" s="534"/>
      <c r="E70" s="430"/>
      <c r="F70" s="608" t="s">
        <v>437</v>
      </c>
      <c r="G70" s="534"/>
      <c r="H70" s="431" t="s">
        <v>438</v>
      </c>
      <c r="I70" s="366"/>
      <c r="J70" s="366"/>
    </row>
    <row r="71" spans="1:10" ht="12.75" customHeight="1" x14ac:dyDescent="0.3">
      <c r="A71" s="370"/>
      <c r="B71" s="437">
        <v>2019</v>
      </c>
      <c r="C71" s="437">
        <v>2020</v>
      </c>
      <c r="D71" s="437">
        <v>2021</v>
      </c>
      <c r="E71" s="437"/>
      <c r="F71" s="437">
        <v>2020</v>
      </c>
      <c r="G71" s="437">
        <v>2021</v>
      </c>
      <c r="H71" s="439" t="s">
        <v>440</v>
      </c>
      <c r="I71" s="366"/>
      <c r="J71" s="366"/>
    </row>
    <row r="72" spans="1:10" ht="12.75" customHeight="1" x14ac:dyDescent="0.3">
      <c r="A72" s="374" t="s">
        <v>93</v>
      </c>
      <c r="B72" s="396">
        <f>IFERROR('Stryker Data(19-21)'!M4,"")</f>
        <v>6.1343018669471467</v>
      </c>
      <c r="C72" s="396">
        <f>IFERROR('Stryker Data(19-21)'!M16,"")</f>
        <v>4.9185603919351797</v>
      </c>
      <c r="D72" s="396">
        <f>IFERROR('Stryker Data(19-21)'!M27,"")</f>
        <v>3.141503694046067</v>
      </c>
      <c r="E72" s="396"/>
      <c r="F72" s="61">
        <f t="shared" ref="F72:G72" si="56">C72/B72-1</f>
        <v>-0.19818742236384335</v>
      </c>
      <c r="G72" s="61">
        <f t="shared" si="56"/>
        <v>-0.36129610216902097</v>
      </c>
      <c r="H72" s="376">
        <f t="shared" ref="H72:H74" si="57">(D72/B72)^(1/2)-1</f>
        <v>-0.28437382757048513</v>
      </c>
      <c r="I72" s="366"/>
      <c r="J72" s="380" t="s">
        <v>465</v>
      </c>
    </row>
    <row r="73" spans="1:10" ht="12.75" customHeight="1" x14ac:dyDescent="0.3">
      <c r="A73" s="374" t="s">
        <v>95</v>
      </c>
      <c r="B73" s="396">
        <f>IFERROR('Stryker Data(19-21)'!M5,"")</f>
        <v>2.2789106145251399</v>
      </c>
      <c r="C73" s="396">
        <f>IFERROR('Stryker Data(19-21)'!M17,"")</f>
        <v>1.399515928566756</v>
      </c>
      <c r="D73" s="396">
        <f>IFERROR('Stryker Data(19-21)'!M28,"")</f>
        <v>0.86014768135462771</v>
      </c>
      <c r="E73" s="396"/>
      <c r="F73" s="61">
        <f t="shared" ref="F73:G73" si="58">C73/B73-1</f>
        <v>-0.38588379919482918</v>
      </c>
      <c r="G73" s="61">
        <f t="shared" si="58"/>
        <v>-0.38539629039056045</v>
      </c>
      <c r="H73" s="376">
        <f t="shared" si="57"/>
        <v>-0.3856400931488827</v>
      </c>
      <c r="I73" s="366"/>
      <c r="J73" s="366"/>
    </row>
    <row r="74" spans="1:10" ht="12.75" customHeight="1" x14ac:dyDescent="0.3">
      <c r="A74" s="374" t="s">
        <v>96</v>
      </c>
      <c r="B74" s="396">
        <f>IFERROR('Stryker Data(19-21)'!M6,"")</f>
        <v>3.1725773240255126</v>
      </c>
      <c r="C74" s="396">
        <f>IFERROR('Stryker Data(19-21)'!M18,"")</f>
        <v>3.4906451671216039</v>
      </c>
      <c r="D74" s="396">
        <f>IFERROR('Stryker Data(19-21)'!M29,"")</f>
        <v>3.19438683397741</v>
      </c>
      <c r="E74" s="396"/>
      <c r="F74" s="61">
        <f t="shared" ref="F74:G74" si="59">C74/B74-1</f>
        <v>0.10025534781686973</v>
      </c>
      <c r="G74" s="61">
        <f t="shared" si="59"/>
        <v>-8.487208494711862E-2</v>
      </c>
      <c r="H74" s="376">
        <f t="shared" si="57"/>
        <v>3.4313043120763886E-3</v>
      </c>
      <c r="I74" s="366"/>
      <c r="J74" s="366"/>
    </row>
    <row r="75" spans="1:10" ht="12.75" customHeight="1" x14ac:dyDescent="0.3">
      <c r="A75" s="374" t="s">
        <v>97</v>
      </c>
      <c r="B75" s="396" t="str">
        <f>IFERROR('Stryker Data(19-21)'!M7,"")</f>
        <v/>
      </c>
      <c r="C75" s="396" t="str">
        <f>IFERROR('Stryker Data(19-21)'!M19,"")</f>
        <v/>
      </c>
      <c r="D75" s="396" t="str">
        <f>IFERROR('Stryker Data(19-21)'!M30,"")</f>
        <v/>
      </c>
      <c r="E75" s="396"/>
      <c r="F75" s="61"/>
      <c r="G75" s="61"/>
      <c r="H75" s="376"/>
      <c r="I75" s="366"/>
      <c r="J75" s="366"/>
    </row>
    <row r="76" spans="1:10" ht="12.75" customHeight="1" x14ac:dyDescent="0.3">
      <c r="A76" s="374" t="s">
        <v>98</v>
      </c>
      <c r="B76" s="396">
        <f>IFERROR('Stryker Data(19-21)'!M8,"")</f>
        <v>0</v>
      </c>
      <c r="C76" s="396" t="str">
        <f>IFERROR('Stryker Data(19-21)'!M20,"")</f>
        <v/>
      </c>
      <c r="D76" s="396" t="str">
        <f>IFERROR('Stryker Data(19-21)'!M31,"")</f>
        <v/>
      </c>
      <c r="E76" s="396"/>
      <c r="F76" s="61"/>
      <c r="G76" s="61"/>
      <c r="H76" s="376"/>
      <c r="I76" s="366"/>
      <c r="J76" s="366"/>
    </row>
    <row r="77" spans="1:10" ht="12.75" customHeight="1" x14ac:dyDescent="0.3">
      <c r="A77" s="374" t="s">
        <v>275</v>
      </c>
      <c r="B77" s="396">
        <f>IFERROR('Stryker Data(19-21)'!M9,"")</f>
        <v>0</v>
      </c>
      <c r="C77" s="396" t="str">
        <f>IFERROR('Stryker Data(19-21)'!M21,"")</f>
        <v/>
      </c>
      <c r="D77" s="396" t="str">
        <f>IFERROR('Stryker Data(19-21)'!M32,"")</f>
        <v/>
      </c>
      <c r="E77" s="396"/>
      <c r="F77" s="61"/>
      <c r="G77" s="61"/>
      <c r="H77" s="376"/>
      <c r="I77" s="366"/>
      <c r="J77" s="366"/>
    </row>
    <row r="78" spans="1:10" ht="12.75" customHeight="1" x14ac:dyDescent="0.3">
      <c r="A78" s="374" t="s">
        <v>276</v>
      </c>
      <c r="B78" s="396" t="str">
        <f>IFERROR('Stryker Data(19-21)'!M10,"")</f>
        <v/>
      </c>
      <c r="C78" s="396" t="str">
        <f>IFERROR('Stryker Data(19-21)'!M22,"")</f>
        <v/>
      </c>
      <c r="D78" s="396" t="str">
        <f>IFERROR('Stryker Data(19-21)'!M33,"")</f>
        <v/>
      </c>
      <c r="E78" s="396"/>
      <c r="F78" s="61"/>
      <c r="G78" s="61"/>
      <c r="H78" s="376"/>
      <c r="I78" s="366"/>
      <c r="J78" s="366"/>
    </row>
    <row r="79" spans="1:10" ht="12.75" customHeight="1" x14ac:dyDescent="0.3">
      <c r="A79" s="377" t="s">
        <v>304</v>
      </c>
      <c r="B79" s="401">
        <f>AVERAGE(B72:B74)</f>
        <v>3.8619299351659326</v>
      </c>
      <c r="C79" s="401">
        <f t="shared" ref="C79:D79" si="60">C68/C23</f>
        <v>2.7173401459592563</v>
      </c>
      <c r="D79" s="401">
        <f t="shared" si="60"/>
        <v>1.8704475159662359</v>
      </c>
      <c r="E79" s="401"/>
      <c r="F79" s="379">
        <f t="shared" ref="F79:G79" si="61">C79/B79-1</f>
        <v>-0.29637766827002199</v>
      </c>
      <c r="G79" s="379">
        <f t="shared" si="61"/>
        <v>-0.31166235528237718</v>
      </c>
      <c r="H79" s="379">
        <f>(D79/B79)^(1/2)-1</f>
        <v>-0.30406197216006725</v>
      </c>
      <c r="I79" s="366"/>
      <c r="J79" s="366"/>
    </row>
    <row r="80" spans="1:10" ht="12.75" customHeight="1" x14ac:dyDescent="0.3">
      <c r="I80" s="366"/>
      <c r="J80" s="366"/>
    </row>
    <row r="81" spans="1:10" ht="12.75" customHeight="1" x14ac:dyDescent="0.3">
      <c r="A81" s="367" t="s">
        <v>62</v>
      </c>
      <c r="B81" s="610" t="s">
        <v>466</v>
      </c>
      <c r="C81" s="546"/>
      <c r="D81" s="534"/>
      <c r="E81" s="442"/>
      <c r="F81" s="611" t="s">
        <v>437</v>
      </c>
      <c r="G81" s="534"/>
      <c r="H81" s="443" t="s">
        <v>438</v>
      </c>
      <c r="I81" s="366"/>
      <c r="J81" s="366"/>
    </row>
    <row r="82" spans="1:10" ht="12.75" customHeight="1" x14ac:dyDescent="0.3">
      <c r="A82" s="370"/>
      <c r="B82" s="442">
        <v>2019</v>
      </c>
      <c r="C82" s="442">
        <v>2020</v>
      </c>
      <c r="D82" s="442">
        <v>2021</v>
      </c>
      <c r="E82" s="442"/>
      <c r="F82" s="442">
        <v>2020</v>
      </c>
      <c r="G82" s="442">
        <v>2021</v>
      </c>
      <c r="H82" s="444" t="s">
        <v>440</v>
      </c>
      <c r="I82" s="366"/>
      <c r="J82" s="366"/>
    </row>
    <row r="83" spans="1:10" ht="12.75" customHeight="1" x14ac:dyDescent="0.3">
      <c r="A83" s="374" t="s">
        <v>93</v>
      </c>
      <c r="B83" s="396">
        <f t="shared" ref="B83:D83" si="62">IFERROR(B72+B49,"")</f>
        <v>14.172561135945305</v>
      </c>
      <c r="C83" s="396">
        <f t="shared" si="62"/>
        <v>14.069606180516299</v>
      </c>
      <c r="D83" s="396">
        <f t="shared" si="62"/>
        <v>14.070013037809648</v>
      </c>
      <c r="E83" s="396"/>
      <c r="F83" s="402">
        <f t="shared" ref="F83:G83" si="63">C83/B83-1</f>
        <v>-7.264386051430427E-3</v>
      </c>
      <c r="G83" s="402">
        <f t="shared" si="63"/>
        <v>2.8917461379451836E-5</v>
      </c>
      <c r="H83" s="397">
        <f t="shared" ref="H83:H85" si="64">(D83/B83)^(1/2)-1</f>
        <v>-3.6244074936671034E-3</v>
      </c>
      <c r="I83" s="366"/>
      <c r="J83" s="366"/>
    </row>
    <row r="84" spans="1:10" ht="12.75" customHeight="1" x14ac:dyDescent="0.3">
      <c r="A84" s="374" t="s">
        <v>95</v>
      </c>
      <c r="B84" s="396">
        <f t="shared" ref="B84:D84" si="65">IFERROR(B73+B50,"")</f>
        <v>9.8072974860335194</v>
      </c>
      <c r="C84" s="396">
        <f t="shared" si="65"/>
        <v>9.8039772355596249</v>
      </c>
      <c r="D84" s="396">
        <f t="shared" si="65"/>
        <v>9.8063546276698084</v>
      </c>
      <c r="E84" s="396"/>
      <c r="F84" s="402">
        <f t="shared" ref="F84:G84" si="66">C84/B84-1</f>
        <v>-3.3854897117402416E-4</v>
      </c>
      <c r="G84" s="402">
        <f t="shared" si="66"/>
        <v>2.4249261835906921E-4</v>
      </c>
      <c r="H84" s="397">
        <f t="shared" si="64"/>
        <v>-4.8070379601417024E-5</v>
      </c>
      <c r="I84" s="366"/>
      <c r="J84" s="366"/>
    </row>
    <row r="85" spans="1:10" ht="12.75" customHeight="1" x14ac:dyDescent="0.3">
      <c r="A85" s="374" t="s">
        <v>96</v>
      </c>
      <c r="B85" s="396">
        <f t="shared" ref="B85:D85" si="67">IFERROR(B74+B51,"")</f>
        <v>8.550584369462122</v>
      </c>
      <c r="C85" s="396">
        <f t="shared" si="67"/>
        <v>8.5641280572678458</v>
      </c>
      <c r="D85" s="396">
        <f t="shared" si="67"/>
        <v>8.6021993106638224</v>
      </c>
      <c r="E85" s="396"/>
      <c r="F85" s="402">
        <f t="shared" ref="F85:G85" si="68">C85/B85-1</f>
        <v>1.5839487946689434E-3</v>
      </c>
      <c r="G85" s="402">
        <f t="shared" si="68"/>
        <v>4.4454325228904246E-3</v>
      </c>
      <c r="H85" s="397">
        <f t="shared" si="64"/>
        <v>3.0136702234149215E-3</v>
      </c>
      <c r="I85" s="366"/>
      <c r="J85" s="366"/>
    </row>
    <row r="86" spans="1:10" ht="12.75" customHeight="1" x14ac:dyDescent="0.3">
      <c r="A86" s="374" t="s">
        <v>97</v>
      </c>
      <c r="B86" s="396" t="str">
        <f t="shared" ref="B86:D86" si="69">IFERROR(B75+B52,"")</f>
        <v/>
      </c>
      <c r="C86" s="396" t="str">
        <f t="shared" si="69"/>
        <v/>
      </c>
      <c r="D86" s="396" t="str">
        <f t="shared" si="69"/>
        <v/>
      </c>
      <c r="E86" s="396"/>
      <c r="F86" s="61"/>
      <c r="G86" s="402"/>
      <c r="H86" s="376"/>
      <c r="I86" s="366"/>
      <c r="J86" s="366"/>
    </row>
    <row r="87" spans="1:10" ht="12.75" customHeight="1" x14ac:dyDescent="0.3">
      <c r="A87" s="374" t="s">
        <v>98</v>
      </c>
      <c r="B87" s="396">
        <f t="shared" ref="B87:D87" si="70">IFERROR(B76+B53,"")</f>
        <v>4.5058823529411764</v>
      </c>
      <c r="C87" s="396" t="str">
        <f t="shared" si="70"/>
        <v/>
      </c>
      <c r="D87" s="396" t="str">
        <f t="shared" si="70"/>
        <v/>
      </c>
      <c r="E87" s="396"/>
      <c r="F87" s="61"/>
      <c r="G87" s="61"/>
      <c r="H87" s="376"/>
      <c r="I87" s="366"/>
      <c r="J87" s="366"/>
    </row>
    <row r="88" spans="1:10" ht="12.75" customHeight="1" x14ac:dyDescent="0.3">
      <c r="A88" s="374" t="s">
        <v>275</v>
      </c>
      <c r="B88" s="396">
        <f t="shared" ref="B88:D88" si="71">IFERROR(B77+B54,"")</f>
        <v>1.8600917431192661</v>
      </c>
      <c r="C88" s="396" t="str">
        <f t="shared" si="71"/>
        <v/>
      </c>
      <c r="D88" s="396" t="str">
        <f t="shared" si="71"/>
        <v/>
      </c>
      <c r="E88" s="396"/>
      <c r="F88" s="61"/>
      <c r="G88" s="61"/>
      <c r="H88" s="376"/>
      <c r="I88" s="366"/>
      <c r="J88" s="366"/>
    </row>
    <row r="89" spans="1:10" ht="12.75" customHeight="1" x14ac:dyDescent="0.3">
      <c r="A89" s="374" t="s">
        <v>276</v>
      </c>
      <c r="B89" s="396" t="str">
        <f t="shared" ref="B89:D89" si="72">IFERROR(B78+B55,"")</f>
        <v/>
      </c>
      <c r="C89" s="396" t="str">
        <f t="shared" si="72"/>
        <v/>
      </c>
      <c r="D89" s="396" t="str">
        <f t="shared" si="72"/>
        <v/>
      </c>
      <c r="E89" s="396"/>
      <c r="F89" s="61"/>
      <c r="G89" s="61"/>
      <c r="H89" s="376"/>
      <c r="I89" s="366"/>
      <c r="J89" s="366"/>
    </row>
    <row r="90" spans="1:10" ht="12.75" customHeight="1" x14ac:dyDescent="0.3">
      <c r="A90" s="377"/>
      <c r="B90" s="401">
        <f t="shared" ref="B90:D90" si="73">AVERAGE(B83,B84,B85)</f>
        <v>10.843480997146983</v>
      </c>
      <c r="C90" s="401">
        <f t="shared" si="73"/>
        <v>10.81257049111459</v>
      </c>
      <c r="D90" s="401">
        <f t="shared" si="73"/>
        <v>10.82618899204776</v>
      </c>
      <c r="E90" s="401"/>
      <c r="F90" s="400"/>
      <c r="G90" s="400"/>
      <c r="H90" s="435">
        <f>(D90/B90)^(1/2)-1</f>
        <v>-7.9766379720136449E-4</v>
      </c>
      <c r="I90" s="366"/>
      <c r="J90" s="366"/>
    </row>
    <row r="91" spans="1:10" ht="12.75" customHeight="1" x14ac:dyDescent="0.3">
      <c r="I91" s="366"/>
      <c r="J91" s="366"/>
    </row>
    <row r="92" spans="1:10" ht="12.75" customHeight="1" x14ac:dyDescent="0.3">
      <c r="A92" s="367" t="s">
        <v>62</v>
      </c>
      <c r="B92" s="609" t="s">
        <v>467</v>
      </c>
      <c r="C92" s="546"/>
      <c r="D92" s="534"/>
      <c r="E92" s="430"/>
      <c r="F92" s="608" t="s">
        <v>468</v>
      </c>
      <c r="G92" s="534"/>
      <c r="I92" s="366"/>
      <c r="J92" s="366"/>
    </row>
    <row r="93" spans="1:10" ht="12.75" customHeight="1" x14ac:dyDescent="0.3">
      <c r="A93" s="370"/>
      <c r="B93" s="437">
        <v>2019</v>
      </c>
      <c r="C93" s="437">
        <v>2020</v>
      </c>
      <c r="D93" s="437">
        <v>2021</v>
      </c>
      <c r="E93" s="437"/>
      <c r="F93" s="437"/>
      <c r="G93" s="437" t="s">
        <v>469</v>
      </c>
      <c r="H93" s="364"/>
      <c r="I93" s="366"/>
      <c r="J93" s="366"/>
    </row>
    <row r="94" spans="1:10" ht="12.75" customHeight="1" x14ac:dyDescent="0.3">
      <c r="A94" s="374" t="s">
        <v>93</v>
      </c>
      <c r="B94" s="402">
        <f t="shared" ref="B94:D94" si="74">IFERROR(B16/B5,"")</f>
        <v>0.10726485834332891</v>
      </c>
      <c r="C94" s="402">
        <f t="shared" si="74"/>
        <v>0.36571754873205803</v>
      </c>
      <c r="D94" s="402">
        <f t="shared" si="74"/>
        <v>0.28577489923003008</v>
      </c>
      <c r="E94" s="402"/>
      <c r="F94" s="61"/>
      <c r="G94" s="61">
        <v>0.1</v>
      </c>
      <c r="H94" s="376"/>
      <c r="I94" s="366"/>
      <c r="J94" s="366"/>
    </row>
    <row r="95" spans="1:10" ht="12.75" customHeight="1" x14ac:dyDescent="0.3">
      <c r="A95" s="374" t="s">
        <v>95</v>
      </c>
      <c r="B95" s="402">
        <f t="shared" ref="B95:D95" si="75">IFERROR(B17/B6,"")</f>
        <v>0.15076757424370779</v>
      </c>
      <c r="C95" s="402">
        <f t="shared" si="75"/>
        <v>0.23280217644772638</v>
      </c>
      <c r="D95" s="402">
        <f t="shared" si="75"/>
        <v>0.46627545848495006</v>
      </c>
      <c r="E95" s="402"/>
      <c r="F95" s="61"/>
      <c r="G95" s="61">
        <v>0.1</v>
      </c>
      <c r="H95" s="376"/>
      <c r="I95" s="366"/>
      <c r="J95" s="366"/>
    </row>
    <row r="96" spans="1:10" ht="12.75" customHeight="1" x14ac:dyDescent="0.3">
      <c r="A96" s="374" t="s">
        <v>96</v>
      </c>
      <c r="B96" s="402">
        <f t="shared" ref="B96:D96" si="76">IFERROR(B18/B7,"")</f>
        <v>0.22357754124822277</v>
      </c>
      <c r="C96" s="402">
        <f t="shared" si="76"/>
        <v>7.7307947752933356E-2</v>
      </c>
      <c r="D96" s="402">
        <f t="shared" si="76"/>
        <v>8.8682421773446513E-2</v>
      </c>
      <c r="E96" s="402"/>
      <c r="F96" s="61"/>
      <c r="G96" s="61">
        <v>0.1</v>
      </c>
      <c r="H96" s="376"/>
      <c r="I96" s="366"/>
      <c r="J96" s="366"/>
    </row>
    <row r="97" spans="1:10" ht="12.75" customHeight="1" x14ac:dyDescent="0.3">
      <c r="A97" s="374" t="s">
        <v>97</v>
      </c>
      <c r="B97" s="402" t="str">
        <f t="shared" ref="B97:D97" si="77">IFERROR(B19/B8,"")</f>
        <v/>
      </c>
      <c r="C97" s="402" t="str">
        <f t="shared" si="77"/>
        <v/>
      </c>
      <c r="D97" s="402">
        <f t="shared" si="77"/>
        <v>0</v>
      </c>
      <c r="E97" s="402"/>
      <c r="F97" s="61"/>
      <c r="G97" s="61">
        <v>0.1</v>
      </c>
      <c r="H97" s="376"/>
      <c r="I97" s="366"/>
      <c r="J97" s="366"/>
    </row>
    <row r="98" spans="1:10" ht="12.75" customHeight="1" x14ac:dyDescent="0.3">
      <c r="A98" s="374" t="s">
        <v>98</v>
      </c>
      <c r="B98" s="402">
        <f t="shared" ref="B98:D98" si="78">IFERROR(B20/B9,"")</f>
        <v>1.7127773187982347E-3</v>
      </c>
      <c r="C98" s="402">
        <f t="shared" si="78"/>
        <v>0</v>
      </c>
      <c r="D98" s="402" t="str">
        <f t="shared" si="78"/>
        <v/>
      </c>
      <c r="E98" s="402"/>
      <c r="F98" s="61"/>
      <c r="G98" s="61">
        <v>0.1</v>
      </c>
      <c r="H98" s="376"/>
      <c r="I98" s="366"/>
      <c r="J98" s="366"/>
    </row>
    <row r="99" spans="1:10" ht="12.75" customHeight="1" x14ac:dyDescent="0.3">
      <c r="A99" s="374" t="s">
        <v>275</v>
      </c>
      <c r="B99" s="402" t="str">
        <f t="shared" ref="B99:D99" si="79">IFERROR(B21/B10,"")</f>
        <v/>
      </c>
      <c r="C99" s="402" t="str">
        <f t="shared" si="79"/>
        <v/>
      </c>
      <c r="D99" s="402" t="str">
        <f t="shared" si="79"/>
        <v/>
      </c>
      <c r="E99" s="402"/>
      <c r="F99" s="61"/>
      <c r="G99" s="61">
        <v>0.1</v>
      </c>
      <c r="H99" s="376"/>
      <c r="I99" s="366"/>
      <c r="J99" s="366"/>
    </row>
    <row r="100" spans="1:10" ht="12.75" customHeight="1" x14ac:dyDescent="0.3">
      <c r="A100" s="374" t="s">
        <v>276</v>
      </c>
      <c r="B100" s="402" t="str">
        <f t="shared" ref="B100:D100" si="80">IFERROR(B22/B11,"")</f>
        <v/>
      </c>
      <c r="C100" s="402">
        <f t="shared" si="80"/>
        <v>3.0900879486570002E-2</v>
      </c>
      <c r="D100" s="402">
        <f t="shared" si="80"/>
        <v>0.29907397985142975</v>
      </c>
      <c r="E100" s="402"/>
      <c r="F100" s="61"/>
      <c r="G100" s="61">
        <v>0.1</v>
      </c>
      <c r="H100" s="376"/>
      <c r="I100" s="366"/>
      <c r="J100" s="366"/>
    </row>
    <row r="101" spans="1:10" ht="12.75" customHeight="1" x14ac:dyDescent="0.3">
      <c r="A101" s="377"/>
      <c r="B101" s="403">
        <f t="shared" ref="B101:D101" si="81">B23/B12</f>
        <v>0.18071239727838781</v>
      </c>
      <c r="C101" s="403">
        <f t="shared" si="81"/>
        <v>0.13835228018588044</v>
      </c>
      <c r="D101" s="403">
        <f t="shared" si="81"/>
        <v>0.18360731711127196</v>
      </c>
      <c r="E101" s="403"/>
      <c r="F101" s="61"/>
      <c r="G101" s="61"/>
      <c r="H101" s="376"/>
      <c r="I101" s="366"/>
      <c r="J101" s="366"/>
    </row>
    <row r="102" spans="1:10" ht="12.75" customHeight="1" x14ac:dyDescent="0.3">
      <c r="I102" s="366"/>
      <c r="J102" s="366"/>
    </row>
    <row r="103" spans="1:10" ht="12.75" customHeight="1" x14ac:dyDescent="0.3">
      <c r="A103" s="367" t="s">
        <v>62</v>
      </c>
      <c r="B103" s="609" t="s">
        <v>470</v>
      </c>
      <c r="C103" s="546"/>
      <c r="D103" s="534"/>
      <c r="E103" s="430"/>
      <c r="F103" s="608" t="s">
        <v>468</v>
      </c>
      <c r="G103" s="534"/>
      <c r="I103" s="366"/>
      <c r="J103" s="366"/>
    </row>
    <row r="104" spans="1:10" ht="12.75" customHeight="1" x14ac:dyDescent="0.3">
      <c r="A104" s="370"/>
      <c r="B104" s="437">
        <v>2019</v>
      </c>
      <c r="C104" s="437">
        <v>2020</v>
      </c>
      <c r="D104" s="437">
        <v>2021</v>
      </c>
      <c r="E104" s="437"/>
      <c r="F104" s="437"/>
      <c r="G104" s="437" t="s">
        <v>469</v>
      </c>
      <c r="H104" s="364"/>
      <c r="I104" s="366"/>
      <c r="J104" s="366"/>
    </row>
    <row r="105" spans="1:10" ht="12.75" customHeight="1" x14ac:dyDescent="0.3">
      <c r="A105" s="374" t="s">
        <v>93</v>
      </c>
      <c r="B105" s="402">
        <f t="shared" ref="B105:D105" si="82">IFERROR(B27/B5,"")</f>
        <v>0.21513295876209115</v>
      </c>
      <c r="C105" s="402">
        <f t="shared" si="82"/>
        <v>0.28905702494354607</v>
      </c>
      <c r="D105" s="402">
        <f t="shared" si="82"/>
        <v>0.27678983689616016</v>
      </c>
      <c r="E105" s="402"/>
      <c r="F105" s="61"/>
      <c r="G105" s="61">
        <v>0.1</v>
      </c>
      <c r="H105" s="376"/>
      <c r="I105" s="366"/>
      <c r="J105" s="366" t="s">
        <v>517</v>
      </c>
    </row>
    <row r="106" spans="1:10" ht="12.75" customHeight="1" x14ac:dyDescent="0.3">
      <c r="A106" s="374" t="s">
        <v>95</v>
      </c>
      <c r="B106" s="402">
        <f t="shared" ref="B106:D106" si="83">IFERROR(B28/B6,"")</f>
        <v>0.27209629447826855</v>
      </c>
      <c r="C106" s="402">
        <f t="shared" si="83"/>
        <v>0.25550966054766705</v>
      </c>
      <c r="D106" s="402">
        <f t="shared" si="83"/>
        <v>0.37564466558162263</v>
      </c>
      <c r="E106" s="402"/>
      <c r="F106" s="61"/>
      <c r="G106" s="61">
        <v>0.1</v>
      </c>
      <c r="H106" s="376"/>
      <c r="I106" s="366"/>
      <c r="J106" s="366"/>
    </row>
    <row r="107" spans="1:10" ht="12.75" customHeight="1" x14ac:dyDescent="0.3">
      <c r="A107" s="374" t="s">
        <v>96</v>
      </c>
      <c r="B107" s="402">
        <f t="shared" ref="B107:D107" si="84">IFERROR(B29/B7,"")</f>
        <v>0.19095169246214844</v>
      </c>
      <c r="C107" s="402">
        <f t="shared" si="84"/>
        <v>0.10899121836026862</v>
      </c>
      <c r="D107" s="402">
        <f t="shared" si="84"/>
        <v>0.12124137722147763</v>
      </c>
      <c r="E107" s="402"/>
      <c r="F107" s="61"/>
      <c r="G107" s="61">
        <v>0.1</v>
      </c>
      <c r="H107" s="376"/>
      <c r="I107" s="366"/>
      <c r="J107" s="366"/>
    </row>
    <row r="108" spans="1:10" ht="12.75" customHeight="1" x14ac:dyDescent="0.3">
      <c r="A108" s="374" t="s">
        <v>97</v>
      </c>
      <c r="B108" s="402" t="str">
        <f t="shared" ref="B108:D108" si="85">IFERROR(B30/B8,"")</f>
        <v/>
      </c>
      <c r="C108" s="402" t="str">
        <f t="shared" si="85"/>
        <v/>
      </c>
      <c r="D108" s="402">
        <f t="shared" si="85"/>
        <v>8.7849043072923669E-2</v>
      </c>
      <c r="E108" s="402"/>
      <c r="F108" s="61"/>
      <c r="G108" s="61">
        <v>0.1</v>
      </c>
      <c r="H108" s="376"/>
      <c r="I108" s="366"/>
      <c r="J108" s="366"/>
    </row>
    <row r="109" spans="1:10" ht="12.75" customHeight="1" x14ac:dyDescent="0.3">
      <c r="A109" s="374" t="s">
        <v>98</v>
      </c>
      <c r="B109" s="402">
        <f t="shared" ref="B109:D109" si="86">IFERROR(B31/B9,"")</f>
        <v>3.8648316440647229E-2</v>
      </c>
      <c r="C109" s="402">
        <f t="shared" si="86"/>
        <v>3.8776579030061799E-2</v>
      </c>
      <c r="D109" s="402" t="str">
        <f t="shared" si="86"/>
        <v/>
      </c>
      <c r="E109" s="402"/>
      <c r="F109" s="61"/>
      <c r="G109" s="61">
        <v>0.1</v>
      </c>
      <c r="H109" s="376"/>
      <c r="I109" s="366"/>
      <c r="J109" s="366"/>
    </row>
    <row r="110" spans="1:10" ht="12.75" customHeight="1" x14ac:dyDescent="0.3">
      <c r="A110" s="374" t="s">
        <v>275</v>
      </c>
      <c r="B110" s="402" t="str">
        <f t="shared" ref="B110:D110" si="87">IFERROR(B32/B10,"")</f>
        <v/>
      </c>
      <c r="C110" s="402" t="str">
        <f t="shared" si="87"/>
        <v/>
      </c>
      <c r="D110" s="402" t="str">
        <f t="shared" si="87"/>
        <v/>
      </c>
      <c r="E110" s="402"/>
      <c r="F110" s="61"/>
      <c r="G110" s="61">
        <v>0.1</v>
      </c>
      <c r="H110" s="376"/>
      <c r="I110" s="366"/>
      <c r="J110" s="366"/>
    </row>
    <row r="111" spans="1:10" ht="12" customHeight="1" x14ac:dyDescent="0.3">
      <c r="A111" s="374" t="s">
        <v>276</v>
      </c>
      <c r="B111" s="402" t="str">
        <f t="shared" ref="B111:D111" si="88">IFERROR(B33/B11,"")</f>
        <v/>
      </c>
      <c r="C111" s="402">
        <f t="shared" si="88"/>
        <v>0.28214879961968148</v>
      </c>
      <c r="D111" s="402">
        <f t="shared" si="88"/>
        <v>0.52915437061158033</v>
      </c>
      <c r="E111" s="402"/>
      <c r="F111" s="61"/>
      <c r="G111" s="61">
        <v>0.1</v>
      </c>
      <c r="H111" s="376"/>
      <c r="I111" s="366"/>
      <c r="J111" s="366"/>
    </row>
    <row r="112" spans="1:10" ht="12.75" customHeight="1" x14ac:dyDescent="0.3">
      <c r="A112" s="377"/>
      <c r="B112" s="404">
        <f t="shared" ref="B112:D112" si="89">B34/B12</f>
        <v>0.23129821678273604</v>
      </c>
      <c r="C112" s="404">
        <f t="shared" si="89"/>
        <v>0.16763632544829216</v>
      </c>
      <c r="D112" s="404">
        <f t="shared" si="89"/>
        <v>0.18968928833646631</v>
      </c>
      <c r="E112" s="404"/>
      <c r="F112" s="61"/>
      <c r="G112" s="61"/>
      <c r="H112" s="376"/>
      <c r="I112" s="366"/>
      <c r="J112" s="366"/>
    </row>
    <row r="113" spans="1:10" ht="12.75" customHeight="1" x14ac:dyDescent="0.3">
      <c r="I113" s="366"/>
      <c r="J113" s="366"/>
    </row>
    <row r="114" spans="1:10" ht="12.75" customHeight="1" x14ac:dyDescent="0.3">
      <c r="A114" s="374"/>
      <c r="B114" s="388"/>
      <c r="C114" s="388"/>
      <c r="D114" s="388"/>
      <c r="E114" s="388"/>
      <c r="F114" s="61"/>
      <c r="G114" s="61"/>
      <c r="H114" s="376"/>
      <c r="I114" s="366"/>
      <c r="J114" s="366"/>
    </row>
    <row r="115" spans="1:10" ht="12.75" customHeight="1" x14ac:dyDescent="0.3">
      <c r="A115" s="367" t="s">
        <v>62</v>
      </c>
      <c r="B115" s="609" t="s">
        <v>471</v>
      </c>
      <c r="C115" s="546"/>
      <c r="D115" s="534"/>
      <c r="E115" s="430"/>
      <c r="F115" s="608" t="s">
        <v>468</v>
      </c>
      <c r="G115" s="534"/>
      <c r="H115" s="376"/>
      <c r="I115" s="366"/>
      <c r="J115" s="366"/>
    </row>
    <row r="116" spans="1:10" ht="12.75" customHeight="1" x14ac:dyDescent="0.3">
      <c r="A116" s="370"/>
      <c r="B116" s="437">
        <v>2019</v>
      </c>
      <c r="C116" s="437">
        <v>2020</v>
      </c>
      <c r="D116" s="437">
        <v>2021</v>
      </c>
      <c r="E116" s="437"/>
      <c r="F116" s="437"/>
      <c r="G116" s="437" t="s">
        <v>469</v>
      </c>
      <c r="H116" s="376"/>
      <c r="I116" s="366"/>
      <c r="J116" s="366"/>
    </row>
    <row r="117" spans="1:10" ht="12.75" customHeight="1" x14ac:dyDescent="0.3">
      <c r="A117" s="374" t="s">
        <v>93</v>
      </c>
      <c r="B117" s="61">
        <f t="shared" ref="B117:D117" si="90">IFERROR(B27/B16,"")</f>
        <v>2.0056238556107768</v>
      </c>
      <c r="C117" s="61">
        <f t="shared" si="90"/>
        <v>0.79038325053229241</v>
      </c>
      <c r="D117" s="61">
        <f t="shared" si="90"/>
        <v>0.96855895196506547</v>
      </c>
      <c r="E117" s="61"/>
      <c r="F117" s="61"/>
      <c r="G117" s="61">
        <v>0.1</v>
      </c>
      <c r="H117" s="376"/>
      <c r="I117" s="366"/>
      <c r="J117" s="366"/>
    </row>
    <row r="118" spans="1:10" ht="12.75" customHeight="1" x14ac:dyDescent="0.3">
      <c r="A118" s="374" t="s">
        <v>95</v>
      </c>
      <c r="B118" s="61">
        <f t="shared" ref="B118:D118" si="91">IFERROR(B28/B17,"")</f>
        <v>1.8047401494862505</v>
      </c>
      <c r="C118" s="61">
        <f t="shared" si="91"/>
        <v>1.097539827360847</v>
      </c>
      <c r="D118" s="61">
        <f t="shared" si="91"/>
        <v>0.80562821556637276</v>
      </c>
      <c r="E118" s="61"/>
      <c r="F118" s="61"/>
      <c r="G118" s="61">
        <v>0.1</v>
      </c>
      <c r="H118" s="376"/>
      <c r="I118" s="366"/>
      <c r="J118" s="366"/>
    </row>
    <row r="119" spans="1:10" ht="12.75" customHeight="1" x14ac:dyDescent="0.3">
      <c r="A119" s="374" t="s">
        <v>96</v>
      </c>
      <c r="B119" s="61">
        <f t="shared" ref="B119:D119" si="92">IFERROR(B29/B18,"")</f>
        <v>0.85407367571927939</v>
      </c>
      <c r="C119" s="61">
        <f t="shared" si="92"/>
        <v>1.409831996945399</v>
      </c>
      <c r="D119" s="61">
        <f t="shared" si="92"/>
        <v>1.3671410274654903</v>
      </c>
      <c r="E119" s="61"/>
      <c r="F119" s="61"/>
      <c r="G119" s="61">
        <v>0.1</v>
      </c>
      <c r="H119" s="376"/>
      <c r="I119" s="366"/>
      <c r="J119" s="366"/>
    </row>
    <row r="120" spans="1:10" ht="12.75" customHeight="1" x14ac:dyDescent="0.3">
      <c r="A120" s="374" t="s">
        <v>97</v>
      </c>
      <c r="B120" s="61" t="str">
        <f t="shared" ref="B120:D120" si="93">IFERROR(B30/B19,"")</f>
        <v/>
      </c>
      <c r="C120" s="61" t="str">
        <f t="shared" si="93"/>
        <v/>
      </c>
      <c r="D120" s="61" t="str">
        <f t="shared" si="93"/>
        <v/>
      </c>
      <c r="E120" s="61"/>
      <c r="F120" s="61"/>
      <c r="G120" s="61">
        <v>0.1</v>
      </c>
      <c r="H120" s="376"/>
      <c r="I120" s="366"/>
      <c r="J120" s="366"/>
    </row>
    <row r="121" spans="1:10" ht="12.75" customHeight="1" x14ac:dyDescent="0.3">
      <c r="A121" s="374" t="s">
        <v>98</v>
      </c>
      <c r="B121" s="61">
        <f t="shared" ref="B121:D121" si="94">IFERROR(B31/B20,"")</f>
        <v>22.564705882352943</v>
      </c>
      <c r="C121" s="61" t="str">
        <f t="shared" si="94"/>
        <v/>
      </c>
      <c r="D121" s="61" t="str">
        <f t="shared" si="94"/>
        <v/>
      </c>
      <c r="E121" s="61"/>
      <c r="F121" s="61"/>
      <c r="G121" s="61">
        <v>0.1</v>
      </c>
      <c r="H121" s="376"/>
      <c r="I121" s="366"/>
      <c r="J121" s="366"/>
    </row>
    <row r="122" spans="1:10" ht="12.75" customHeight="1" x14ac:dyDescent="0.3">
      <c r="A122" s="374" t="s">
        <v>275</v>
      </c>
      <c r="B122" s="61">
        <f t="shared" ref="B122:D122" si="95">IFERROR(B32/B21,"")</f>
        <v>8.5798165137614681</v>
      </c>
      <c r="C122" s="61" t="str">
        <f t="shared" si="95"/>
        <v/>
      </c>
      <c r="D122" s="61" t="str">
        <f t="shared" si="95"/>
        <v/>
      </c>
      <c r="E122" s="61"/>
      <c r="F122" s="61"/>
      <c r="G122" s="61">
        <v>0.1</v>
      </c>
      <c r="H122" s="376"/>
      <c r="I122" s="366"/>
      <c r="J122" s="366"/>
    </row>
    <row r="123" spans="1:10" ht="12.75" customHeight="1" x14ac:dyDescent="0.3">
      <c r="A123" s="374" t="s">
        <v>276</v>
      </c>
      <c r="B123" s="61" t="str">
        <f t="shared" ref="B123:D123" si="96">IFERROR(B33/B22,"")</f>
        <v/>
      </c>
      <c r="C123" s="61">
        <f t="shared" si="96"/>
        <v>9.1307692307692303</v>
      </c>
      <c r="D123" s="61">
        <f t="shared" si="96"/>
        <v>1.7693092888737665</v>
      </c>
      <c r="E123" s="61"/>
      <c r="F123" s="61"/>
      <c r="G123" s="61">
        <v>0.1</v>
      </c>
      <c r="H123" s="376"/>
      <c r="I123" s="366"/>
      <c r="J123" s="366"/>
    </row>
    <row r="124" spans="1:10" ht="12.75" customHeight="1" x14ac:dyDescent="0.3">
      <c r="A124" s="405"/>
      <c r="B124" s="404">
        <f t="shared" ref="B124:D124" si="97">B34/B23</f>
        <v>1.2799244560206939</v>
      </c>
      <c r="C124" s="404">
        <f t="shared" si="97"/>
        <v>1.2116629030115567</v>
      </c>
      <c r="D124" s="404">
        <f t="shared" si="97"/>
        <v>1.0331248847860921</v>
      </c>
      <c r="E124" s="404"/>
      <c r="F124" s="376"/>
      <c r="G124" s="61"/>
      <c r="H124" s="376"/>
      <c r="I124" s="366"/>
      <c r="J124" s="366"/>
    </row>
    <row r="125" spans="1:10" ht="12.75" customHeight="1" x14ac:dyDescent="0.3">
      <c r="A125" s="374"/>
      <c r="B125" s="388"/>
      <c r="C125" s="388"/>
      <c r="D125" s="388"/>
      <c r="E125" s="388"/>
      <c r="F125" s="61"/>
      <c r="G125" s="61"/>
      <c r="H125" s="376"/>
      <c r="I125" s="366"/>
      <c r="J125" s="366"/>
    </row>
    <row r="126" spans="1:10" ht="30" customHeight="1" x14ac:dyDescent="0.3">
      <c r="A126" s="367" t="s">
        <v>62</v>
      </c>
      <c r="B126" s="610" t="s">
        <v>518</v>
      </c>
      <c r="C126" s="546"/>
      <c r="D126" s="534"/>
      <c r="E126" s="442"/>
      <c r="F126" s="611"/>
      <c r="G126" s="534"/>
      <c r="I126" s="366"/>
      <c r="J126" s="366"/>
    </row>
    <row r="127" spans="1:10" ht="12.75" customHeight="1" x14ac:dyDescent="0.3">
      <c r="A127" s="370"/>
      <c r="B127" s="442">
        <v>2019</v>
      </c>
      <c r="C127" s="442">
        <v>2020</v>
      </c>
      <c r="D127" s="442">
        <v>2021</v>
      </c>
      <c r="E127" s="442"/>
      <c r="F127" s="442"/>
      <c r="G127" s="442"/>
      <c r="I127" s="366"/>
      <c r="J127" s="366"/>
    </row>
    <row r="128" spans="1:10" ht="12.75" customHeight="1" x14ac:dyDescent="0.3">
      <c r="A128" s="374" t="s">
        <v>93</v>
      </c>
      <c r="B128" s="61">
        <f t="shared" ref="B128:D128" si="98">B72/B83</f>
        <v>0.43282945179110643</v>
      </c>
      <c r="C128" s="61">
        <f t="shared" si="98"/>
        <v>0.34958763797855558</v>
      </c>
      <c r="D128" s="61">
        <f t="shared" si="98"/>
        <v>0.22327653041998327</v>
      </c>
      <c r="E128" s="61"/>
      <c r="F128" s="61"/>
      <c r="G128" s="61"/>
      <c r="I128" s="366"/>
      <c r="J128" s="366"/>
    </row>
    <row r="129" spans="1:10" ht="12.75" customHeight="1" x14ac:dyDescent="0.3">
      <c r="A129" s="374" t="s">
        <v>95</v>
      </c>
      <c r="B129" s="61">
        <f t="shared" ref="B129:D129" si="99">B73/B84</f>
        <v>0.23236886795475667</v>
      </c>
      <c r="C129" s="61">
        <f t="shared" si="99"/>
        <v>0.14274981417649829</v>
      </c>
      <c r="D129" s="61">
        <f t="shared" si="99"/>
        <v>8.7713295512240358E-2</v>
      </c>
      <c r="E129" s="61"/>
      <c r="F129" s="61"/>
      <c r="G129" s="61"/>
      <c r="I129" s="366"/>
      <c r="J129" s="366"/>
    </row>
    <row r="130" spans="1:10" ht="12.75" customHeight="1" x14ac:dyDescent="0.3">
      <c r="A130" s="374" t="s">
        <v>96</v>
      </c>
      <c r="B130" s="61">
        <f t="shared" ref="B130:D130" si="100">B74/B85</f>
        <v>0.37103631599217646</v>
      </c>
      <c r="C130" s="61">
        <f t="shared" si="100"/>
        <v>0.40758909065579763</v>
      </c>
      <c r="D130" s="61">
        <f t="shared" si="100"/>
        <v>0.37134536397191459</v>
      </c>
      <c r="E130" s="61"/>
      <c r="F130" s="61"/>
      <c r="G130" s="61"/>
      <c r="I130" s="366"/>
      <c r="J130" s="366"/>
    </row>
    <row r="131" spans="1:10" ht="12.75" customHeight="1" x14ac:dyDescent="0.3">
      <c r="A131" s="374" t="s">
        <v>97</v>
      </c>
      <c r="B131" s="61"/>
      <c r="C131" s="61"/>
      <c r="D131" s="61"/>
      <c r="E131" s="61"/>
      <c r="F131" s="61"/>
      <c r="G131" s="61"/>
      <c r="I131" s="366"/>
      <c r="J131" s="366"/>
    </row>
    <row r="132" spans="1:10" ht="12.75" customHeight="1" x14ac:dyDescent="0.3">
      <c r="A132" s="374" t="s">
        <v>98</v>
      </c>
      <c r="B132" s="61">
        <f t="shared" ref="B132:D132" si="101">B76/B87</f>
        <v>0</v>
      </c>
      <c r="C132" s="61" t="e">
        <f t="shared" si="101"/>
        <v>#VALUE!</v>
      </c>
      <c r="D132" s="61" t="e">
        <f t="shared" si="101"/>
        <v>#VALUE!</v>
      </c>
      <c r="E132" s="61"/>
      <c r="F132" s="61"/>
      <c r="G132" s="61"/>
      <c r="I132" s="366"/>
      <c r="J132" s="366"/>
    </row>
    <row r="133" spans="1:10" ht="12.75" customHeight="1" x14ac:dyDescent="0.3">
      <c r="A133" s="374" t="s">
        <v>275</v>
      </c>
      <c r="B133" s="61">
        <f t="shared" ref="B133:D133" si="102">B77/B88</f>
        <v>0</v>
      </c>
      <c r="C133" s="61" t="e">
        <f t="shared" si="102"/>
        <v>#VALUE!</v>
      </c>
      <c r="D133" s="61" t="e">
        <f t="shared" si="102"/>
        <v>#VALUE!</v>
      </c>
      <c r="E133" s="61"/>
      <c r="F133" s="61"/>
      <c r="G133" s="61"/>
      <c r="I133" s="366"/>
      <c r="J133" s="366"/>
    </row>
    <row r="134" spans="1:10" ht="12.75" customHeight="1" x14ac:dyDescent="0.3">
      <c r="A134" s="374" t="s">
        <v>276</v>
      </c>
      <c r="B134" s="61" t="e">
        <f t="shared" ref="B134:D134" si="103">B78/B89</f>
        <v>#VALUE!</v>
      </c>
      <c r="C134" s="61" t="e">
        <f t="shared" si="103"/>
        <v>#VALUE!</v>
      </c>
      <c r="D134" s="61" t="e">
        <f t="shared" si="103"/>
        <v>#VALUE!</v>
      </c>
      <c r="E134" s="61"/>
      <c r="F134" s="61"/>
      <c r="G134" s="61"/>
      <c r="I134" s="366"/>
      <c r="J134" s="366"/>
    </row>
    <row r="135" spans="1:10" ht="12.75" customHeight="1" x14ac:dyDescent="0.3">
      <c r="A135" s="405"/>
      <c r="B135" s="404">
        <f t="shared" ref="B135:D135" si="104">B45/B34</f>
        <v>4.7465352504006102</v>
      </c>
      <c r="C135" s="404">
        <f t="shared" si="104"/>
        <v>6.1238750307263379</v>
      </c>
      <c r="D135" s="404">
        <f t="shared" si="104"/>
        <v>7.609176073169877</v>
      </c>
      <c r="E135" s="404"/>
      <c r="F135" s="376"/>
      <c r="G135" s="61"/>
      <c r="I135" s="366"/>
      <c r="J135" s="366"/>
    </row>
    <row r="136" spans="1:10" ht="12.75" customHeight="1" x14ac:dyDescent="0.3">
      <c r="I136" s="366"/>
      <c r="J136" s="366"/>
    </row>
    <row r="137" spans="1:10" ht="12.75" customHeight="1" x14ac:dyDescent="0.3">
      <c r="I137" s="366"/>
      <c r="J137" s="366"/>
    </row>
    <row r="138" spans="1:10" ht="12.75" customHeight="1" x14ac:dyDescent="0.3">
      <c r="I138" s="366"/>
      <c r="J138" s="366"/>
    </row>
    <row r="139" spans="1:10" ht="12.75" customHeight="1" x14ac:dyDescent="0.3">
      <c r="I139" s="366"/>
      <c r="J139" s="366"/>
    </row>
    <row r="140" spans="1:10" ht="12.75" customHeight="1" x14ac:dyDescent="0.3">
      <c r="B140" s="364"/>
      <c r="C140" s="364"/>
      <c r="D140" s="364"/>
      <c r="I140" s="366"/>
      <c r="J140" s="366"/>
    </row>
    <row r="141" spans="1:10" ht="12.75" customHeight="1" x14ac:dyDescent="0.3">
      <c r="B141" s="396"/>
      <c r="C141" s="396"/>
      <c r="D141" s="396"/>
      <c r="I141" s="366"/>
      <c r="J141" s="366"/>
    </row>
    <row r="142" spans="1:10" ht="12.75" customHeight="1" x14ac:dyDescent="0.3">
      <c r="B142" s="445"/>
      <c r="C142" s="446"/>
      <c r="D142" s="445"/>
      <c r="I142" s="366"/>
      <c r="J142" s="366"/>
    </row>
    <row r="143" spans="1:10" ht="12.75" customHeight="1" x14ac:dyDescent="0.3">
      <c r="I143" s="366"/>
      <c r="J143" s="366"/>
    </row>
    <row r="144" spans="1:10" ht="12.75" customHeight="1" x14ac:dyDescent="0.3">
      <c r="I144" s="366"/>
      <c r="J144" s="366"/>
    </row>
    <row r="145" spans="9:10" ht="12.75" customHeight="1" x14ac:dyDescent="0.3">
      <c r="I145" s="366"/>
      <c r="J145" s="366"/>
    </row>
    <row r="146" spans="9:10" ht="12.75" customHeight="1" x14ac:dyDescent="0.3">
      <c r="I146" s="366"/>
      <c r="J146" s="366"/>
    </row>
    <row r="147" spans="9:10" ht="12.75" customHeight="1" x14ac:dyDescent="0.3">
      <c r="I147" s="366"/>
      <c r="J147" s="366"/>
    </row>
    <row r="148" spans="9:10" ht="12.75" customHeight="1" x14ac:dyDescent="0.3">
      <c r="I148" s="366"/>
      <c r="J148" s="366"/>
    </row>
    <row r="149" spans="9:10" ht="12.75" customHeight="1" x14ac:dyDescent="0.3">
      <c r="I149" s="366"/>
      <c r="J149" s="366"/>
    </row>
    <row r="150" spans="9:10" ht="12.75" customHeight="1" x14ac:dyDescent="0.3">
      <c r="I150" s="366"/>
      <c r="J150" s="366"/>
    </row>
    <row r="151" spans="9:10" ht="12.75" customHeight="1" x14ac:dyDescent="0.3">
      <c r="I151" s="366"/>
      <c r="J151" s="366"/>
    </row>
    <row r="152" spans="9:10" ht="12.75" customHeight="1" x14ac:dyDescent="0.3">
      <c r="I152" s="366"/>
      <c r="J152" s="366"/>
    </row>
    <row r="153" spans="9:10" ht="12.75" customHeight="1" x14ac:dyDescent="0.3">
      <c r="I153" s="366"/>
      <c r="J153" s="366"/>
    </row>
    <row r="154" spans="9:10" ht="12.75" customHeight="1" x14ac:dyDescent="0.3">
      <c r="I154" s="366"/>
      <c r="J154" s="366"/>
    </row>
    <row r="155" spans="9:10" ht="12.75" customHeight="1" x14ac:dyDescent="0.3">
      <c r="I155" s="366"/>
      <c r="J155" s="366"/>
    </row>
    <row r="156" spans="9:10" ht="12.75" customHeight="1" x14ac:dyDescent="0.3">
      <c r="I156" s="366"/>
      <c r="J156" s="366"/>
    </row>
    <row r="157" spans="9:10" ht="12.75" customHeight="1" x14ac:dyDescent="0.3">
      <c r="I157" s="366"/>
      <c r="J157" s="366"/>
    </row>
    <row r="158" spans="9:10" ht="12.75" customHeight="1" x14ac:dyDescent="0.3">
      <c r="I158" s="366"/>
      <c r="J158" s="366"/>
    </row>
    <row r="159" spans="9:10" ht="12.75" customHeight="1" x14ac:dyDescent="0.3">
      <c r="I159" s="366"/>
      <c r="J159" s="366"/>
    </row>
    <row r="160" spans="9:10" ht="12.75" customHeight="1" x14ac:dyDescent="0.3">
      <c r="I160" s="366"/>
      <c r="J160" s="366"/>
    </row>
    <row r="161" spans="9:10" ht="12.75" customHeight="1" x14ac:dyDescent="0.3">
      <c r="I161" s="366"/>
      <c r="J161" s="366"/>
    </row>
    <row r="162" spans="9:10" ht="12.75" customHeight="1" x14ac:dyDescent="0.3">
      <c r="I162" s="366"/>
      <c r="J162" s="366"/>
    </row>
    <row r="163" spans="9:10" ht="12.75" customHeight="1" x14ac:dyDescent="0.3">
      <c r="I163" s="366"/>
      <c r="J163" s="366"/>
    </row>
    <row r="164" spans="9:10" ht="12.75" customHeight="1" x14ac:dyDescent="0.3">
      <c r="I164" s="366"/>
      <c r="J164" s="366"/>
    </row>
    <row r="165" spans="9:10" ht="12.75" customHeight="1" x14ac:dyDescent="0.3">
      <c r="I165" s="366"/>
      <c r="J165" s="366"/>
    </row>
    <row r="166" spans="9:10" ht="12.75" customHeight="1" x14ac:dyDescent="0.3">
      <c r="I166" s="366"/>
      <c r="J166" s="366"/>
    </row>
    <row r="167" spans="9:10" ht="12.75" customHeight="1" x14ac:dyDescent="0.3">
      <c r="I167" s="366"/>
      <c r="J167" s="366"/>
    </row>
    <row r="168" spans="9:10" ht="12.75" customHeight="1" x14ac:dyDescent="0.3">
      <c r="I168" s="366"/>
      <c r="J168" s="366"/>
    </row>
    <row r="169" spans="9:10" ht="12.75" customHeight="1" x14ac:dyDescent="0.3">
      <c r="I169" s="366"/>
      <c r="J169" s="366"/>
    </row>
    <row r="170" spans="9:10" ht="12.75" customHeight="1" x14ac:dyDescent="0.3">
      <c r="I170" s="366"/>
      <c r="J170" s="366"/>
    </row>
    <row r="171" spans="9:10" ht="12.75" customHeight="1" x14ac:dyDescent="0.3">
      <c r="I171" s="366"/>
      <c r="J171" s="366"/>
    </row>
    <row r="172" spans="9:10" ht="12.75" customHeight="1" x14ac:dyDescent="0.3">
      <c r="I172" s="366"/>
      <c r="J172" s="366"/>
    </row>
    <row r="173" spans="9:10" ht="12.75" customHeight="1" x14ac:dyDescent="0.3">
      <c r="I173" s="366"/>
      <c r="J173" s="366"/>
    </row>
    <row r="174" spans="9:10" ht="12.75" customHeight="1" x14ac:dyDescent="0.3">
      <c r="I174" s="366"/>
      <c r="J174" s="366"/>
    </row>
    <row r="175" spans="9:10" ht="12.75" customHeight="1" x14ac:dyDescent="0.3">
      <c r="I175" s="366"/>
      <c r="J175" s="366"/>
    </row>
    <row r="176" spans="9:10" ht="12.75" customHeight="1" x14ac:dyDescent="0.3">
      <c r="I176" s="366"/>
      <c r="J176" s="366"/>
    </row>
    <row r="177" spans="9:10" ht="12.75" customHeight="1" x14ac:dyDescent="0.3">
      <c r="I177" s="366"/>
      <c r="J177" s="366"/>
    </row>
    <row r="178" spans="9:10" ht="12.75" customHeight="1" x14ac:dyDescent="0.3">
      <c r="I178" s="366"/>
      <c r="J178" s="366"/>
    </row>
    <row r="179" spans="9:10" ht="12.75" customHeight="1" x14ac:dyDescent="0.3">
      <c r="I179" s="366"/>
      <c r="J179" s="366"/>
    </row>
    <row r="180" spans="9:10" ht="12.75" customHeight="1" x14ac:dyDescent="0.3">
      <c r="I180" s="366"/>
      <c r="J180" s="366"/>
    </row>
    <row r="181" spans="9:10" ht="12.75" customHeight="1" x14ac:dyDescent="0.3">
      <c r="I181" s="366"/>
      <c r="J181" s="366"/>
    </row>
    <row r="182" spans="9:10" ht="12.75" customHeight="1" x14ac:dyDescent="0.3">
      <c r="I182" s="366"/>
      <c r="J182" s="366"/>
    </row>
    <row r="183" spans="9:10" ht="12.75" customHeight="1" x14ac:dyDescent="0.3">
      <c r="I183" s="366"/>
      <c r="J183" s="366"/>
    </row>
    <row r="184" spans="9:10" ht="12.75" customHeight="1" x14ac:dyDescent="0.3">
      <c r="I184" s="366"/>
      <c r="J184" s="366"/>
    </row>
    <row r="185" spans="9:10" ht="12.75" customHeight="1" x14ac:dyDescent="0.3">
      <c r="I185" s="366"/>
      <c r="J185" s="366"/>
    </row>
    <row r="186" spans="9:10" ht="12.75" customHeight="1" x14ac:dyDescent="0.3">
      <c r="I186" s="366"/>
      <c r="J186" s="366"/>
    </row>
    <row r="187" spans="9:10" ht="12.75" customHeight="1" x14ac:dyDescent="0.3">
      <c r="I187" s="366"/>
      <c r="J187" s="366"/>
    </row>
    <row r="188" spans="9:10" ht="12.75" customHeight="1" x14ac:dyDescent="0.3">
      <c r="I188" s="366"/>
      <c r="J188" s="366"/>
    </row>
    <row r="189" spans="9:10" ht="12.75" customHeight="1" x14ac:dyDescent="0.3">
      <c r="I189" s="366"/>
      <c r="J189" s="366"/>
    </row>
    <row r="190" spans="9:10" ht="12.75" customHeight="1" x14ac:dyDescent="0.3">
      <c r="I190" s="366"/>
      <c r="J190" s="366"/>
    </row>
    <row r="191" spans="9:10" ht="12.75" customHeight="1" x14ac:dyDescent="0.3">
      <c r="I191" s="366"/>
      <c r="J191" s="366"/>
    </row>
    <row r="192" spans="9:10" ht="12.75" customHeight="1" x14ac:dyDescent="0.3">
      <c r="I192" s="366"/>
      <c r="J192" s="366"/>
    </row>
    <row r="193" spans="9:10" ht="12.75" customHeight="1" x14ac:dyDescent="0.3">
      <c r="I193" s="366"/>
      <c r="J193" s="366"/>
    </row>
    <row r="194" spans="9:10" ht="12.75" customHeight="1" x14ac:dyDescent="0.3">
      <c r="I194" s="366"/>
      <c r="J194" s="366"/>
    </row>
    <row r="195" spans="9:10" ht="12.75" customHeight="1" x14ac:dyDescent="0.3">
      <c r="I195" s="366"/>
      <c r="J195" s="366"/>
    </row>
    <row r="196" spans="9:10" ht="12.75" customHeight="1" x14ac:dyDescent="0.3">
      <c r="I196" s="366"/>
      <c r="J196" s="366"/>
    </row>
    <row r="197" spans="9:10" ht="12.75" customHeight="1" x14ac:dyDescent="0.3">
      <c r="I197" s="366"/>
      <c r="J197" s="366"/>
    </row>
    <row r="198" spans="9:10" ht="12.75" customHeight="1" x14ac:dyDescent="0.3">
      <c r="I198" s="366"/>
      <c r="J198" s="366"/>
    </row>
    <row r="199" spans="9:10" ht="12.75" customHeight="1" x14ac:dyDescent="0.3">
      <c r="I199" s="366"/>
      <c r="J199" s="366"/>
    </row>
    <row r="200" spans="9:10" ht="12.75" customHeight="1" x14ac:dyDescent="0.3">
      <c r="I200" s="366"/>
      <c r="J200" s="366"/>
    </row>
    <row r="201" spans="9:10" ht="12.75" customHeight="1" x14ac:dyDescent="0.3">
      <c r="I201" s="366"/>
      <c r="J201" s="366"/>
    </row>
    <row r="202" spans="9:10" ht="12.75" customHeight="1" x14ac:dyDescent="0.3">
      <c r="I202" s="366"/>
      <c r="J202" s="366"/>
    </row>
    <row r="203" spans="9:10" ht="12.75" customHeight="1" x14ac:dyDescent="0.3">
      <c r="I203" s="366"/>
      <c r="J203" s="366"/>
    </row>
    <row r="204" spans="9:10" ht="12.75" customHeight="1" x14ac:dyDescent="0.3">
      <c r="I204" s="366"/>
      <c r="J204" s="366"/>
    </row>
    <row r="205" spans="9:10" ht="12.75" customHeight="1" x14ac:dyDescent="0.3">
      <c r="I205" s="366"/>
      <c r="J205" s="366"/>
    </row>
    <row r="206" spans="9:10" ht="12.75" customHeight="1" x14ac:dyDescent="0.3">
      <c r="I206" s="366"/>
      <c r="J206" s="366"/>
    </row>
    <row r="207" spans="9:10" ht="12.75" customHeight="1" x14ac:dyDescent="0.3">
      <c r="I207" s="366"/>
      <c r="J207" s="366"/>
    </row>
    <row r="208" spans="9:10" ht="12.75" customHeight="1" x14ac:dyDescent="0.3">
      <c r="I208" s="366"/>
      <c r="J208" s="366"/>
    </row>
    <row r="209" spans="9:10" ht="12.75" customHeight="1" x14ac:dyDescent="0.3">
      <c r="I209" s="366"/>
      <c r="J209" s="366"/>
    </row>
    <row r="210" spans="9:10" ht="12.75" customHeight="1" x14ac:dyDescent="0.3">
      <c r="I210" s="366"/>
      <c r="J210" s="366"/>
    </row>
    <row r="211" spans="9:10" ht="12.75" customHeight="1" x14ac:dyDescent="0.3">
      <c r="I211" s="366"/>
      <c r="J211" s="366"/>
    </row>
    <row r="212" spans="9:10" ht="12.75" customHeight="1" x14ac:dyDescent="0.3">
      <c r="I212" s="366"/>
      <c r="J212" s="366"/>
    </row>
    <row r="213" spans="9:10" ht="12.75" customHeight="1" x14ac:dyDescent="0.3">
      <c r="I213" s="366"/>
      <c r="J213" s="366"/>
    </row>
    <row r="214" spans="9:10" ht="12.75" customHeight="1" x14ac:dyDescent="0.3">
      <c r="I214" s="366"/>
      <c r="J214" s="366"/>
    </row>
    <row r="215" spans="9:10" ht="12.75" customHeight="1" x14ac:dyDescent="0.3">
      <c r="I215" s="366"/>
      <c r="J215" s="366"/>
    </row>
    <row r="216" spans="9:10" ht="12.75" customHeight="1" x14ac:dyDescent="0.3">
      <c r="I216" s="366"/>
      <c r="J216" s="366"/>
    </row>
    <row r="217" spans="9:10" ht="12.75" customHeight="1" x14ac:dyDescent="0.3">
      <c r="I217" s="366"/>
      <c r="J217" s="366"/>
    </row>
    <row r="218" spans="9:10" ht="12.75" customHeight="1" x14ac:dyDescent="0.3">
      <c r="I218" s="366"/>
      <c r="J218" s="366"/>
    </row>
    <row r="219" spans="9:10" ht="12.75" customHeight="1" x14ac:dyDescent="0.3">
      <c r="I219" s="366"/>
      <c r="J219" s="366"/>
    </row>
    <row r="220" spans="9:10" ht="12.75" customHeight="1" x14ac:dyDescent="0.3">
      <c r="I220" s="366"/>
      <c r="J220" s="366"/>
    </row>
    <row r="221" spans="9:10" ht="12.75" customHeight="1" x14ac:dyDescent="0.3">
      <c r="I221" s="366"/>
      <c r="J221" s="366"/>
    </row>
    <row r="222" spans="9:10" ht="12.75" customHeight="1" x14ac:dyDescent="0.3">
      <c r="I222" s="366"/>
      <c r="J222" s="366"/>
    </row>
    <row r="223" spans="9:10" ht="12.75" customHeight="1" x14ac:dyDescent="0.3">
      <c r="I223" s="366"/>
      <c r="J223" s="366"/>
    </row>
    <row r="224" spans="9:10" ht="12.75" customHeight="1" x14ac:dyDescent="0.3">
      <c r="I224" s="366"/>
      <c r="J224" s="366"/>
    </row>
    <row r="225" spans="9:10" ht="12.75" customHeight="1" x14ac:dyDescent="0.3">
      <c r="I225" s="366"/>
      <c r="J225" s="366"/>
    </row>
    <row r="226" spans="9:10" ht="12.75" customHeight="1" x14ac:dyDescent="0.3">
      <c r="I226" s="366"/>
      <c r="J226" s="366"/>
    </row>
    <row r="227" spans="9:10" ht="12.75" customHeight="1" x14ac:dyDescent="0.3">
      <c r="I227" s="366"/>
      <c r="J227" s="366"/>
    </row>
    <row r="228" spans="9:10" ht="12.75" customHeight="1" x14ac:dyDescent="0.3">
      <c r="I228" s="366"/>
      <c r="J228" s="366"/>
    </row>
    <row r="229" spans="9:10" ht="12.75" customHeight="1" x14ac:dyDescent="0.3">
      <c r="I229" s="366"/>
      <c r="J229" s="366"/>
    </row>
    <row r="230" spans="9:10" ht="12.75" customHeight="1" x14ac:dyDescent="0.3">
      <c r="I230" s="366"/>
      <c r="J230" s="366"/>
    </row>
    <row r="231" spans="9:10" ht="12.75" customHeight="1" x14ac:dyDescent="0.3">
      <c r="I231" s="366"/>
      <c r="J231" s="366"/>
    </row>
    <row r="232" spans="9:10" ht="12.75" customHeight="1" x14ac:dyDescent="0.3">
      <c r="I232" s="366"/>
      <c r="J232" s="366"/>
    </row>
    <row r="233" spans="9:10" ht="12.75" customHeight="1" x14ac:dyDescent="0.3">
      <c r="I233" s="366"/>
      <c r="J233" s="366"/>
    </row>
    <row r="234" spans="9:10" ht="12.75" customHeight="1" x14ac:dyDescent="0.3">
      <c r="I234" s="366"/>
      <c r="J234" s="366"/>
    </row>
    <row r="235" spans="9:10" ht="12.75" customHeight="1" x14ac:dyDescent="0.3">
      <c r="I235" s="366"/>
      <c r="J235" s="366"/>
    </row>
    <row r="236" spans="9:10" ht="12.75" customHeight="1" x14ac:dyDescent="0.3">
      <c r="I236" s="366"/>
      <c r="J236" s="366"/>
    </row>
    <row r="237" spans="9:10" ht="12.75" customHeight="1" x14ac:dyDescent="0.3">
      <c r="I237" s="366"/>
      <c r="J237" s="366"/>
    </row>
    <row r="238" spans="9:10" ht="12.75" customHeight="1" x14ac:dyDescent="0.3">
      <c r="I238" s="366"/>
      <c r="J238" s="366"/>
    </row>
    <row r="239" spans="9:10" ht="12.75" customHeight="1" x14ac:dyDescent="0.3">
      <c r="I239" s="366"/>
      <c r="J239" s="366"/>
    </row>
    <row r="240" spans="9:10" ht="12.75" customHeight="1" x14ac:dyDescent="0.3">
      <c r="I240" s="366"/>
      <c r="J240" s="366"/>
    </row>
    <row r="241" spans="9:10" ht="12.75" customHeight="1" x14ac:dyDescent="0.3">
      <c r="I241" s="366"/>
      <c r="J241" s="366"/>
    </row>
    <row r="242" spans="9:10" ht="12.75" customHeight="1" x14ac:dyDescent="0.3">
      <c r="I242" s="366"/>
      <c r="J242" s="366"/>
    </row>
    <row r="243" spans="9:10" ht="12.75" customHeight="1" x14ac:dyDescent="0.3">
      <c r="I243" s="366"/>
      <c r="J243" s="366"/>
    </row>
    <row r="244" spans="9:10" ht="12.75" customHeight="1" x14ac:dyDescent="0.3">
      <c r="I244" s="366"/>
      <c r="J244" s="366"/>
    </row>
    <row r="245" spans="9:10" ht="12.75" customHeight="1" x14ac:dyDescent="0.3">
      <c r="I245" s="366"/>
      <c r="J245" s="366"/>
    </row>
    <row r="246" spans="9:10" ht="12.75" customHeight="1" x14ac:dyDescent="0.3">
      <c r="I246" s="366"/>
      <c r="J246" s="366"/>
    </row>
    <row r="247" spans="9:10" ht="12.75" customHeight="1" x14ac:dyDescent="0.3">
      <c r="I247" s="366"/>
      <c r="J247" s="366"/>
    </row>
    <row r="248" spans="9:10" ht="12.75" customHeight="1" x14ac:dyDescent="0.3">
      <c r="I248" s="366"/>
      <c r="J248" s="366"/>
    </row>
    <row r="249" spans="9:10" ht="12.75" customHeight="1" x14ac:dyDescent="0.3">
      <c r="I249" s="366"/>
      <c r="J249" s="366"/>
    </row>
    <row r="250" spans="9:10" ht="12.75" customHeight="1" x14ac:dyDescent="0.3">
      <c r="I250" s="366"/>
      <c r="J250" s="366"/>
    </row>
    <row r="251" spans="9:10" ht="12.75" customHeight="1" x14ac:dyDescent="0.3">
      <c r="I251" s="366"/>
      <c r="J251" s="366"/>
    </row>
    <row r="252" spans="9:10" ht="12.75" customHeight="1" x14ac:dyDescent="0.3">
      <c r="I252" s="366"/>
      <c r="J252" s="366"/>
    </row>
    <row r="253" spans="9:10" ht="12.75" customHeight="1" x14ac:dyDescent="0.3">
      <c r="I253" s="366"/>
      <c r="J253" s="366"/>
    </row>
    <row r="254" spans="9:10" ht="12.75" customHeight="1" x14ac:dyDescent="0.3">
      <c r="I254" s="366"/>
      <c r="J254" s="366"/>
    </row>
    <row r="255" spans="9:10" ht="12.75" customHeight="1" x14ac:dyDescent="0.3">
      <c r="I255" s="366"/>
      <c r="J255" s="366"/>
    </row>
    <row r="256" spans="9:10" ht="12.75" customHeight="1" x14ac:dyDescent="0.3">
      <c r="I256" s="366"/>
      <c r="J256" s="366"/>
    </row>
    <row r="257" spans="9:10" ht="12.75" customHeight="1" x14ac:dyDescent="0.3">
      <c r="I257" s="366"/>
      <c r="J257" s="366"/>
    </row>
    <row r="258" spans="9:10" ht="12.75" customHeight="1" x14ac:dyDescent="0.3">
      <c r="I258" s="366"/>
      <c r="J258" s="366"/>
    </row>
    <row r="259" spans="9:10" ht="12.75" customHeight="1" x14ac:dyDescent="0.3">
      <c r="I259" s="366"/>
      <c r="J259" s="366"/>
    </row>
    <row r="260" spans="9:10" ht="12.75" customHeight="1" x14ac:dyDescent="0.3">
      <c r="I260" s="366"/>
      <c r="J260" s="366"/>
    </row>
    <row r="261" spans="9:10" ht="12.75" customHeight="1" x14ac:dyDescent="0.3">
      <c r="I261" s="366"/>
      <c r="J261" s="366"/>
    </row>
    <row r="262" spans="9:10" ht="12.75" customHeight="1" x14ac:dyDescent="0.3">
      <c r="I262" s="366"/>
      <c r="J262" s="366"/>
    </row>
    <row r="263" spans="9:10" ht="12.75" customHeight="1" x14ac:dyDescent="0.3">
      <c r="I263" s="366"/>
      <c r="J263" s="366"/>
    </row>
    <row r="264" spans="9:10" ht="12.75" customHeight="1" x14ac:dyDescent="0.3">
      <c r="I264" s="366"/>
      <c r="J264" s="366"/>
    </row>
    <row r="265" spans="9:10" ht="12.75" customHeight="1" x14ac:dyDescent="0.3">
      <c r="I265" s="366"/>
      <c r="J265" s="366"/>
    </row>
    <row r="266" spans="9:10" ht="12.75" customHeight="1" x14ac:dyDescent="0.3">
      <c r="I266" s="366"/>
      <c r="J266" s="366"/>
    </row>
    <row r="267" spans="9:10" ht="12.75" customHeight="1" x14ac:dyDescent="0.3">
      <c r="I267" s="366"/>
      <c r="J267" s="366"/>
    </row>
    <row r="268" spans="9:10" ht="12.75" customHeight="1" x14ac:dyDescent="0.3">
      <c r="I268" s="366"/>
      <c r="J268" s="366"/>
    </row>
    <row r="269" spans="9:10" ht="12.75" customHeight="1" x14ac:dyDescent="0.3">
      <c r="I269" s="366"/>
      <c r="J269" s="366"/>
    </row>
    <row r="270" spans="9:10" ht="12.75" customHeight="1" x14ac:dyDescent="0.3">
      <c r="I270" s="366"/>
      <c r="J270" s="366"/>
    </row>
    <row r="271" spans="9:10" ht="12.75" customHeight="1" x14ac:dyDescent="0.3">
      <c r="I271" s="366"/>
      <c r="J271" s="366"/>
    </row>
    <row r="272" spans="9:10" ht="12.75" customHeight="1" x14ac:dyDescent="0.3">
      <c r="I272" s="366"/>
      <c r="J272" s="366"/>
    </row>
    <row r="273" spans="9:10" ht="12.75" customHeight="1" x14ac:dyDescent="0.3">
      <c r="I273" s="366"/>
      <c r="J273" s="366"/>
    </row>
    <row r="274" spans="9:10" ht="12.75" customHeight="1" x14ac:dyDescent="0.3">
      <c r="I274" s="366"/>
      <c r="J274" s="366"/>
    </row>
    <row r="275" spans="9:10" ht="12.75" customHeight="1" x14ac:dyDescent="0.3">
      <c r="I275" s="366"/>
      <c r="J275" s="366"/>
    </row>
    <row r="276" spans="9:10" ht="12.75" customHeight="1" x14ac:dyDescent="0.3">
      <c r="I276" s="366"/>
      <c r="J276" s="366"/>
    </row>
    <row r="277" spans="9:10" ht="12.75" customHeight="1" x14ac:dyDescent="0.3">
      <c r="I277" s="366"/>
      <c r="J277" s="366"/>
    </row>
    <row r="278" spans="9:10" ht="12.75" customHeight="1" x14ac:dyDescent="0.3">
      <c r="I278" s="366"/>
      <c r="J278" s="366"/>
    </row>
    <row r="279" spans="9:10" ht="12.75" customHeight="1" x14ac:dyDescent="0.3">
      <c r="I279" s="366"/>
      <c r="J279" s="366"/>
    </row>
    <row r="280" spans="9:10" ht="12.75" customHeight="1" x14ac:dyDescent="0.3">
      <c r="I280" s="366"/>
      <c r="J280" s="366"/>
    </row>
    <row r="281" spans="9:10" ht="12.75" customHeight="1" x14ac:dyDescent="0.3">
      <c r="I281" s="366"/>
      <c r="J281" s="366"/>
    </row>
    <row r="282" spans="9:10" ht="12.75" customHeight="1" x14ac:dyDescent="0.3">
      <c r="I282" s="366"/>
      <c r="J282" s="366"/>
    </row>
    <row r="283" spans="9:10" ht="12.75" customHeight="1" x14ac:dyDescent="0.3">
      <c r="I283" s="366"/>
      <c r="J283" s="366"/>
    </row>
    <row r="284" spans="9:10" ht="12.75" customHeight="1" x14ac:dyDescent="0.3">
      <c r="I284" s="366"/>
      <c r="J284" s="366"/>
    </row>
    <row r="285" spans="9:10" ht="12.75" customHeight="1" x14ac:dyDescent="0.3">
      <c r="I285" s="366"/>
      <c r="J285" s="366"/>
    </row>
    <row r="286" spans="9:10" ht="12.75" customHeight="1" x14ac:dyDescent="0.3">
      <c r="I286" s="366"/>
      <c r="J286" s="366"/>
    </row>
    <row r="287" spans="9:10" ht="12.75" customHeight="1" x14ac:dyDescent="0.3">
      <c r="I287" s="366"/>
      <c r="J287" s="366"/>
    </row>
    <row r="288" spans="9:10" ht="12.75" customHeight="1" x14ac:dyDescent="0.3">
      <c r="I288" s="366"/>
      <c r="J288" s="366"/>
    </row>
    <row r="289" spans="9:10" ht="12.75" customHeight="1" x14ac:dyDescent="0.3">
      <c r="I289" s="366"/>
      <c r="J289" s="366"/>
    </row>
    <row r="290" spans="9:10" ht="12.75" customHeight="1" x14ac:dyDescent="0.3">
      <c r="I290" s="366"/>
      <c r="J290" s="366"/>
    </row>
    <row r="291" spans="9:10" ht="12.75" customHeight="1" x14ac:dyDescent="0.3">
      <c r="I291" s="366"/>
      <c r="J291" s="366"/>
    </row>
    <row r="292" spans="9:10" ht="12.75" customHeight="1" x14ac:dyDescent="0.3">
      <c r="I292" s="366"/>
      <c r="J292" s="366"/>
    </row>
    <row r="293" spans="9:10" ht="12.75" customHeight="1" x14ac:dyDescent="0.3">
      <c r="I293" s="366"/>
      <c r="J293" s="366"/>
    </row>
    <row r="294" spans="9:10" ht="12.75" customHeight="1" x14ac:dyDescent="0.3">
      <c r="I294" s="366"/>
      <c r="J294" s="366"/>
    </row>
    <row r="295" spans="9:10" ht="12.75" customHeight="1" x14ac:dyDescent="0.3">
      <c r="I295" s="366"/>
      <c r="J295" s="366"/>
    </row>
    <row r="296" spans="9:10" ht="12.75" customHeight="1" x14ac:dyDescent="0.3">
      <c r="I296" s="366"/>
      <c r="J296" s="366"/>
    </row>
    <row r="297" spans="9:10" ht="12.75" customHeight="1" x14ac:dyDescent="0.3">
      <c r="I297" s="366"/>
      <c r="J297" s="366"/>
    </row>
    <row r="298" spans="9:10" ht="12.75" customHeight="1" x14ac:dyDescent="0.3">
      <c r="I298" s="366"/>
      <c r="J298" s="366"/>
    </row>
    <row r="299" spans="9:10" ht="12.75" customHeight="1" x14ac:dyDescent="0.3">
      <c r="I299" s="366"/>
      <c r="J299" s="366"/>
    </row>
    <row r="300" spans="9:10" ht="12.75" customHeight="1" x14ac:dyDescent="0.3">
      <c r="I300" s="366"/>
      <c r="J300" s="366"/>
    </row>
    <row r="301" spans="9:10" ht="12.75" customHeight="1" x14ac:dyDescent="0.3">
      <c r="I301" s="366"/>
      <c r="J301" s="366"/>
    </row>
    <row r="302" spans="9:10" ht="12.75" customHeight="1" x14ac:dyDescent="0.3">
      <c r="I302" s="366"/>
      <c r="J302" s="366"/>
    </row>
    <row r="303" spans="9:10" ht="12.75" customHeight="1" x14ac:dyDescent="0.3">
      <c r="I303" s="366"/>
      <c r="J303" s="366"/>
    </row>
    <row r="304" spans="9:10" ht="12.75" customHeight="1" x14ac:dyDescent="0.3">
      <c r="I304" s="366"/>
      <c r="J304" s="366"/>
    </row>
    <row r="305" spans="9:10" ht="12.75" customHeight="1" x14ac:dyDescent="0.3">
      <c r="I305" s="366"/>
      <c r="J305" s="366"/>
    </row>
    <row r="306" spans="9:10" ht="12.75" customHeight="1" x14ac:dyDescent="0.3">
      <c r="I306" s="366"/>
      <c r="J306" s="366"/>
    </row>
    <row r="307" spans="9:10" ht="12.75" customHeight="1" x14ac:dyDescent="0.3">
      <c r="I307" s="366"/>
      <c r="J307" s="366"/>
    </row>
    <row r="308" spans="9:10" ht="12.75" customHeight="1" x14ac:dyDescent="0.3">
      <c r="I308" s="366"/>
      <c r="J308" s="366"/>
    </row>
    <row r="309" spans="9:10" ht="12.75" customHeight="1" x14ac:dyDescent="0.3">
      <c r="I309" s="366"/>
      <c r="J309" s="366"/>
    </row>
    <row r="310" spans="9:10" ht="12.75" customHeight="1" x14ac:dyDescent="0.3">
      <c r="I310" s="366"/>
      <c r="J310" s="366"/>
    </row>
    <row r="311" spans="9:10" ht="12.75" customHeight="1" x14ac:dyDescent="0.3">
      <c r="I311" s="366"/>
      <c r="J311" s="366"/>
    </row>
    <row r="312" spans="9:10" ht="12.75" customHeight="1" x14ac:dyDescent="0.3">
      <c r="I312" s="366"/>
      <c r="J312" s="366"/>
    </row>
    <row r="313" spans="9:10" ht="12.75" customHeight="1" x14ac:dyDescent="0.3">
      <c r="I313" s="366"/>
      <c r="J313" s="366"/>
    </row>
    <row r="314" spans="9:10" ht="12.75" customHeight="1" x14ac:dyDescent="0.3">
      <c r="I314" s="366"/>
      <c r="J314" s="366"/>
    </row>
    <row r="315" spans="9:10" ht="12.75" customHeight="1" x14ac:dyDescent="0.3">
      <c r="I315" s="366"/>
      <c r="J315" s="366"/>
    </row>
    <row r="316" spans="9:10" ht="12.75" customHeight="1" x14ac:dyDescent="0.3">
      <c r="I316" s="366"/>
      <c r="J316" s="366"/>
    </row>
    <row r="317" spans="9:10" ht="12.75" customHeight="1" x14ac:dyDescent="0.3">
      <c r="I317" s="366"/>
      <c r="J317" s="366"/>
    </row>
    <row r="318" spans="9:10" ht="12.75" customHeight="1" x14ac:dyDescent="0.3">
      <c r="I318" s="366"/>
      <c r="J318" s="366"/>
    </row>
    <row r="319" spans="9:10" ht="12.75" customHeight="1" x14ac:dyDescent="0.3">
      <c r="I319" s="366"/>
      <c r="J319" s="366"/>
    </row>
    <row r="320" spans="9:10" ht="12.75" customHeight="1" x14ac:dyDescent="0.3">
      <c r="I320" s="366"/>
      <c r="J320" s="366"/>
    </row>
    <row r="321" spans="9:10" ht="12.75" customHeight="1" x14ac:dyDescent="0.3">
      <c r="I321" s="366"/>
      <c r="J321" s="366"/>
    </row>
    <row r="322" spans="9:10" ht="12.75" customHeight="1" x14ac:dyDescent="0.3">
      <c r="I322" s="366"/>
      <c r="J322" s="366"/>
    </row>
    <row r="323" spans="9:10" ht="12.75" customHeight="1" x14ac:dyDescent="0.3">
      <c r="I323" s="366"/>
      <c r="J323" s="366"/>
    </row>
    <row r="324" spans="9:10" ht="12.75" customHeight="1" x14ac:dyDescent="0.3">
      <c r="I324" s="366"/>
      <c r="J324" s="366"/>
    </row>
    <row r="325" spans="9:10" ht="12.75" customHeight="1" x14ac:dyDescent="0.3">
      <c r="I325" s="366"/>
      <c r="J325" s="366"/>
    </row>
    <row r="326" spans="9:10" ht="12.75" customHeight="1" x14ac:dyDescent="0.3">
      <c r="I326" s="366"/>
      <c r="J326" s="366"/>
    </row>
    <row r="327" spans="9:10" ht="12.75" customHeight="1" x14ac:dyDescent="0.3">
      <c r="I327" s="366"/>
      <c r="J327" s="366"/>
    </row>
    <row r="328" spans="9:10" ht="12.75" customHeight="1" x14ac:dyDescent="0.3">
      <c r="I328" s="366"/>
      <c r="J328" s="366"/>
    </row>
    <row r="329" spans="9:10" ht="12.75" customHeight="1" x14ac:dyDescent="0.3">
      <c r="I329" s="366"/>
      <c r="J329" s="366"/>
    </row>
    <row r="330" spans="9:10" ht="12.75" customHeight="1" x14ac:dyDescent="0.3">
      <c r="I330" s="366"/>
      <c r="J330" s="366"/>
    </row>
    <row r="331" spans="9:10" ht="12.75" customHeight="1" x14ac:dyDescent="0.3">
      <c r="I331" s="366"/>
      <c r="J331" s="366"/>
    </row>
    <row r="332" spans="9:10" ht="12.75" customHeight="1" x14ac:dyDescent="0.3">
      <c r="I332" s="366"/>
      <c r="J332" s="366"/>
    </row>
    <row r="333" spans="9:10" ht="12.75" customHeight="1" x14ac:dyDescent="0.3">
      <c r="I333" s="366"/>
      <c r="J333" s="366"/>
    </row>
    <row r="334" spans="9:10" ht="12.75" customHeight="1" x14ac:dyDescent="0.3">
      <c r="I334" s="366"/>
      <c r="J334" s="366"/>
    </row>
    <row r="335" spans="9:10" ht="12.75" customHeight="1" x14ac:dyDescent="0.3">
      <c r="I335" s="366"/>
      <c r="J335" s="366"/>
    </row>
    <row r="336" spans="9:10"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
    <mergeCell ref="B70:D70"/>
    <mergeCell ref="F70:G70"/>
    <mergeCell ref="B115:D115"/>
    <mergeCell ref="B126:D126"/>
    <mergeCell ref="F126:G126"/>
    <mergeCell ref="B81:D81"/>
    <mergeCell ref="F81:G81"/>
    <mergeCell ref="B92:D92"/>
    <mergeCell ref="F92:G92"/>
    <mergeCell ref="B103:D103"/>
    <mergeCell ref="F103:G103"/>
    <mergeCell ref="F115:G115"/>
    <mergeCell ref="F36:G36"/>
    <mergeCell ref="B36:D36"/>
    <mergeCell ref="B47:D47"/>
    <mergeCell ref="F47:G47"/>
    <mergeCell ref="B59:D59"/>
    <mergeCell ref="F59:G59"/>
    <mergeCell ref="B3:D3"/>
    <mergeCell ref="F3:G3"/>
    <mergeCell ref="B14:D14"/>
    <mergeCell ref="F14:G14"/>
    <mergeCell ref="B25:D25"/>
    <mergeCell ref="F25:G25"/>
  </mergeCells>
  <pageMargins left="0.7" right="0.7" top="0.75" bottom="0.75" header="0" footer="0"/>
  <pageSetup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000"/>
  <sheetViews>
    <sheetView workbookViewId="0"/>
  </sheetViews>
  <sheetFormatPr defaultColWidth="14.3984375" defaultRowHeight="15" customHeight="1" x14ac:dyDescent="0.3"/>
  <cols>
    <col min="1" max="1" width="32.09765625" customWidth="1"/>
    <col min="2" max="3" width="8.8984375" customWidth="1"/>
    <col min="4" max="4" width="9.09765625" customWidth="1"/>
    <col min="5" max="7" width="8.69921875" customWidth="1"/>
    <col min="8" max="8" width="23.3984375" customWidth="1"/>
    <col min="9" max="9" width="28.59765625" customWidth="1"/>
    <col min="10" max="10" width="22.8984375" customWidth="1"/>
    <col min="11" max="13" width="8.69921875" customWidth="1"/>
  </cols>
  <sheetData>
    <row r="1" spans="1:13" ht="12.75" customHeight="1" x14ac:dyDescent="0.3">
      <c r="H1" s="366"/>
      <c r="I1" s="366"/>
    </row>
    <row r="2" spans="1:13" ht="12.75" customHeight="1" x14ac:dyDescent="0.3">
      <c r="A2" s="410" t="s">
        <v>519</v>
      </c>
      <c r="B2" s="612" t="s">
        <v>520</v>
      </c>
      <c r="C2" s="546"/>
      <c r="D2" s="534"/>
      <c r="E2" s="612" t="s">
        <v>437</v>
      </c>
      <c r="F2" s="534"/>
      <c r="G2" s="447" t="s">
        <v>438</v>
      </c>
      <c r="H2" s="409"/>
      <c r="I2" s="409"/>
      <c r="J2" s="411"/>
      <c r="K2" s="411"/>
      <c r="L2" s="409"/>
      <c r="M2" s="409"/>
    </row>
    <row r="3" spans="1:13" ht="12.75" customHeight="1" x14ac:dyDescent="0.3">
      <c r="A3" s="412" t="s">
        <v>472</v>
      </c>
      <c r="B3" s="414">
        <v>2019</v>
      </c>
      <c r="C3" s="414">
        <v>2020</v>
      </c>
      <c r="D3" s="414">
        <v>2021</v>
      </c>
      <c r="E3" s="414">
        <v>2020</v>
      </c>
      <c r="F3" s="414">
        <v>2021</v>
      </c>
      <c r="G3" s="414" t="s">
        <v>521</v>
      </c>
      <c r="H3" s="448"/>
      <c r="I3" s="449"/>
      <c r="J3" s="450"/>
      <c r="K3" s="450"/>
      <c r="L3" s="448"/>
      <c r="M3" s="448"/>
    </row>
    <row r="4" spans="1:13" ht="12.75" customHeight="1" x14ac:dyDescent="0.3">
      <c r="A4" s="374" t="s">
        <v>145</v>
      </c>
      <c r="B4" s="375"/>
      <c r="C4" s="375"/>
      <c r="D4" s="375"/>
      <c r="E4" s="421" t="str">
        <f t="shared" ref="E4:F4" si="0">IFERROR(C4/B4-1,"")</f>
        <v/>
      </c>
      <c r="F4" s="421" t="str">
        <f t="shared" si="0"/>
        <v/>
      </c>
      <c r="G4" s="421" t="str">
        <f t="shared" ref="G4:G17" si="1">IFERROR(((D4/B4)^(1/2)-1),"")</f>
        <v/>
      </c>
      <c r="H4" s="451"/>
      <c r="I4" s="452"/>
      <c r="J4" s="406" t="s">
        <v>511</v>
      </c>
      <c r="K4" s="422"/>
      <c r="L4" s="423"/>
      <c r="M4" s="423"/>
    </row>
    <row r="5" spans="1:13" ht="12.75" customHeight="1" x14ac:dyDescent="0.3">
      <c r="A5" s="374" t="s">
        <v>146</v>
      </c>
      <c r="B5" s="375"/>
      <c r="C5" s="375"/>
      <c r="D5" s="375"/>
      <c r="E5" s="421" t="str">
        <f t="shared" ref="E5:F5" si="2">IFERROR(C5/B5-1,"")</f>
        <v/>
      </c>
      <c r="F5" s="421" t="str">
        <f t="shared" si="2"/>
        <v/>
      </c>
      <c r="G5" s="421" t="str">
        <f t="shared" si="1"/>
        <v/>
      </c>
      <c r="H5" s="451"/>
      <c r="I5" s="451"/>
      <c r="K5" s="406" t="s">
        <v>500</v>
      </c>
      <c r="L5" s="423"/>
      <c r="M5" s="423"/>
    </row>
    <row r="6" spans="1:13" ht="12.75" customHeight="1" x14ac:dyDescent="0.3">
      <c r="A6" s="374" t="s">
        <v>147</v>
      </c>
      <c r="B6" s="375"/>
      <c r="C6" s="375"/>
      <c r="D6" s="375"/>
      <c r="E6" s="421" t="str">
        <f t="shared" ref="E6:F6" si="3">IFERROR(C6/B6-1,"")</f>
        <v/>
      </c>
      <c r="F6" s="421" t="str">
        <f t="shared" si="3"/>
        <v/>
      </c>
      <c r="G6" s="421" t="str">
        <f t="shared" si="1"/>
        <v/>
      </c>
      <c r="H6" s="451"/>
      <c r="I6" s="451"/>
      <c r="J6" s="453"/>
      <c r="K6" s="406" t="s">
        <v>501</v>
      </c>
      <c r="L6" s="423"/>
      <c r="M6" s="423"/>
    </row>
    <row r="7" spans="1:13" ht="12.75" customHeight="1" x14ac:dyDescent="0.3">
      <c r="A7" s="374" t="s">
        <v>148</v>
      </c>
      <c r="B7" s="375"/>
      <c r="C7" s="375"/>
      <c r="D7" s="375"/>
      <c r="E7" s="421" t="str">
        <f t="shared" ref="E7:F7" si="4">IFERROR(C7/B7-1,"")</f>
        <v/>
      </c>
      <c r="F7" s="421" t="str">
        <f t="shared" si="4"/>
        <v/>
      </c>
      <c r="G7" s="421" t="str">
        <f t="shared" si="1"/>
        <v/>
      </c>
      <c r="H7" s="451"/>
      <c r="I7" s="451"/>
      <c r="J7" s="453"/>
      <c r="K7" s="406" t="s">
        <v>502</v>
      </c>
      <c r="L7" s="423"/>
      <c r="M7" s="423"/>
    </row>
    <row r="8" spans="1:13" ht="12.75" customHeight="1" x14ac:dyDescent="0.3">
      <c r="A8" s="374" t="s">
        <v>149</v>
      </c>
      <c r="B8" s="375"/>
      <c r="C8" s="375"/>
      <c r="D8" s="375"/>
      <c r="E8" s="421" t="str">
        <f t="shared" ref="E8:F8" si="5">IFERROR(C8/B8-1,"")</f>
        <v/>
      </c>
      <c r="F8" s="421" t="str">
        <f t="shared" si="5"/>
        <v/>
      </c>
      <c r="G8" s="421" t="str">
        <f t="shared" si="1"/>
        <v/>
      </c>
      <c r="H8" s="451"/>
      <c r="I8" s="451"/>
      <c r="J8" s="453"/>
      <c r="K8" s="406" t="s">
        <v>503</v>
      </c>
      <c r="L8" s="423"/>
      <c r="M8" s="423"/>
    </row>
    <row r="9" spans="1:13" ht="12.75" customHeight="1" x14ac:dyDescent="0.3">
      <c r="A9" s="374" t="s">
        <v>198</v>
      </c>
      <c r="B9" s="375"/>
      <c r="C9" s="375"/>
      <c r="D9" s="375"/>
      <c r="E9" s="421" t="str">
        <f t="shared" ref="E9:F9" si="6">IFERROR(C9/B9-1,"")</f>
        <v/>
      </c>
      <c r="F9" s="421" t="str">
        <f t="shared" si="6"/>
        <v/>
      </c>
      <c r="G9" s="421" t="str">
        <f t="shared" si="1"/>
        <v/>
      </c>
      <c r="H9" s="451"/>
      <c r="I9" s="451"/>
      <c r="J9" s="406" t="s">
        <v>500</v>
      </c>
      <c r="K9" s="406" t="s">
        <v>504</v>
      </c>
      <c r="L9" s="423"/>
      <c r="M9" s="423"/>
    </row>
    <row r="10" spans="1:13" ht="12.75" customHeight="1" x14ac:dyDescent="0.3">
      <c r="A10" s="374" t="s">
        <v>199</v>
      </c>
      <c r="B10" s="375"/>
      <c r="C10" s="375"/>
      <c r="D10" s="375"/>
      <c r="E10" s="421" t="str">
        <f t="shared" ref="E10:F10" si="7">IFERROR(C10/B10-1,"")</f>
        <v/>
      </c>
      <c r="F10" s="421" t="str">
        <f t="shared" si="7"/>
        <v/>
      </c>
      <c r="G10" s="421" t="str">
        <f t="shared" si="1"/>
        <v/>
      </c>
      <c r="H10" s="451"/>
      <c r="I10" s="451" t="s">
        <v>522</v>
      </c>
      <c r="J10" s="406" t="s">
        <v>523</v>
      </c>
      <c r="K10" s="406" t="s">
        <v>505</v>
      </c>
      <c r="L10" s="423"/>
      <c r="M10" s="423"/>
    </row>
    <row r="11" spans="1:13" ht="12.75" customHeight="1" x14ac:dyDescent="0.3">
      <c r="A11" s="374" t="s">
        <v>152</v>
      </c>
      <c r="B11" s="375"/>
      <c r="C11" s="375"/>
      <c r="D11" s="375"/>
      <c r="E11" s="421" t="str">
        <f t="shared" ref="E11:F11" si="8">IFERROR(C11/B11-1,"")</f>
        <v/>
      </c>
      <c r="F11" s="421" t="str">
        <f t="shared" si="8"/>
        <v/>
      </c>
      <c r="G11" s="421" t="str">
        <f t="shared" si="1"/>
        <v/>
      </c>
      <c r="H11" s="451"/>
      <c r="I11" s="451"/>
      <c r="J11" s="406" t="s">
        <v>524</v>
      </c>
      <c r="K11" s="406" t="s">
        <v>506</v>
      </c>
      <c r="L11" s="423"/>
      <c r="M11" s="423"/>
    </row>
    <row r="12" spans="1:13" ht="12.75" customHeight="1" x14ac:dyDescent="0.3">
      <c r="A12" s="374" t="s">
        <v>153</v>
      </c>
      <c r="B12" s="375"/>
      <c r="C12" s="375"/>
      <c r="D12" s="375"/>
      <c r="E12" s="421" t="str">
        <f t="shared" ref="E12:F12" si="9">IFERROR(C12/B12-1,"")</f>
        <v/>
      </c>
      <c r="F12" s="421" t="str">
        <f t="shared" si="9"/>
        <v/>
      </c>
      <c r="G12" s="421" t="str">
        <f t="shared" si="1"/>
        <v/>
      </c>
      <c r="H12" s="451"/>
      <c r="I12" s="451"/>
      <c r="J12" s="406" t="s">
        <v>514</v>
      </c>
      <c r="K12" s="406" t="s">
        <v>507</v>
      </c>
      <c r="L12" s="423"/>
      <c r="M12" s="423"/>
    </row>
    <row r="13" spans="1:13" ht="12.75" customHeight="1" x14ac:dyDescent="0.3">
      <c r="A13" s="374" t="s">
        <v>154</v>
      </c>
      <c r="B13" s="375"/>
      <c r="C13" s="375"/>
      <c r="D13" s="375"/>
      <c r="E13" s="421" t="str">
        <f t="shared" ref="E13:F13" si="10">IFERROR(C13/B13-1,"")</f>
        <v/>
      </c>
      <c r="F13" s="421" t="str">
        <f t="shared" si="10"/>
        <v/>
      </c>
      <c r="G13" s="421" t="str">
        <f t="shared" si="1"/>
        <v/>
      </c>
      <c r="H13" s="451"/>
      <c r="I13" s="451"/>
      <c r="J13" s="453"/>
      <c r="K13" s="406" t="s">
        <v>508</v>
      </c>
      <c r="L13" s="423"/>
      <c r="M13" s="423"/>
    </row>
    <row r="14" spans="1:13" ht="12.75" customHeight="1" x14ac:dyDescent="0.3">
      <c r="A14" s="374" t="s">
        <v>155</v>
      </c>
      <c r="B14" s="375"/>
      <c r="C14" s="375"/>
      <c r="D14" s="375"/>
      <c r="E14" s="421" t="str">
        <f t="shared" ref="E14:F14" si="11">IFERROR(C14/B14-1,"")</f>
        <v/>
      </c>
      <c r="F14" s="421" t="str">
        <f t="shared" si="11"/>
        <v/>
      </c>
      <c r="G14" s="421" t="str">
        <f t="shared" si="1"/>
        <v/>
      </c>
      <c r="H14" s="451"/>
      <c r="I14" s="451"/>
      <c r="J14" s="454" t="s">
        <v>525</v>
      </c>
      <c r="K14" s="406" t="s">
        <v>509</v>
      </c>
      <c r="L14" s="423"/>
      <c r="M14" s="423"/>
    </row>
    <row r="15" spans="1:13" ht="12.75" customHeight="1" x14ac:dyDescent="0.3">
      <c r="A15" s="374" t="s">
        <v>156</v>
      </c>
      <c r="B15" s="375"/>
      <c r="C15" s="375"/>
      <c r="D15" s="375"/>
      <c r="E15" s="421" t="str">
        <f t="shared" ref="E15:F15" si="12">IFERROR(C15/B15-1,"")</f>
        <v/>
      </c>
      <c r="F15" s="421" t="str">
        <f t="shared" si="12"/>
        <v/>
      </c>
      <c r="G15" s="421" t="str">
        <f t="shared" si="1"/>
        <v/>
      </c>
      <c r="H15" s="451"/>
      <c r="I15" s="451"/>
      <c r="J15" s="453"/>
      <c r="K15" s="406" t="s">
        <v>510</v>
      </c>
      <c r="L15" s="423"/>
      <c r="M15" s="423"/>
    </row>
    <row r="16" spans="1:13" ht="12.75" customHeight="1" x14ac:dyDescent="0.3">
      <c r="A16" s="374" t="s">
        <v>96</v>
      </c>
      <c r="B16" s="375"/>
      <c r="C16" s="375"/>
      <c r="D16" s="375"/>
      <c r="E16" s="421" t="str">
        <f t="shared" ref="E16:F16" si="13">IFERROR(C16/B16-1,"")</f>
        <v/>
      </c>
      <c r="F16" s="421" t="str">
        <f t="shared" si="13"/>
        <v/>
      </c>
      <c r="G16" s="421" t="str">
        <f t="shared" si="1"/>
        <v/>
      </c>
      <c r="H16" s="451"/>
      <c r="J16" s="406" t="s">
        <v>509</v>
      </c>
      <c r="K16" s="406" t="s">
        <v>511</v>
      </c>
      <c r="L16" s="423"/>
      <c r="M16" s="423"/>
    </row>
    <row r="17" spans="1:13" ht="12.75" customHeight="1" x14ac:dyDescent="0.3">
      <c r="A17" s="374" t="s">
        <v>158</v>
      </c>
      <c r="B17" s="375"/>
      <c r="C17" s="375"/>
      <c r="D17" s="375"/>
      <c r="E17" s="421" t="str">
        <f t="shared" ref="E17:F17" si="14">IFERROR(C17/B17-1,"")</f>
        <v/>
      </c>
      <c r="F17" s="421" t="str">
        <f t="shared" si="14"/>
        <v/>
      </c>
      <c r="G17" s="421" t="str">
        <f t="shared" si="1"/>
        <v/>
      </c>
      <c r="H17" s="451"/>
      <c r="I17" s="451"/>
      <c r="J17" s="453"/>
      <c r="K17" s="454" t="s">
        <v>512</v>
      </c>
      <c r="L17" s="423"/>
      <c r="M17" s="423"/>
    </row>
    <row r="18" spans="1:13" ht="12.75" customHeight="1" x14ac:dyDescent="0.3">
      <c r="A18" s="377" t="s">
        <v>443</v>
      </c>
      <c r="B18" s="455">
        <f t="shared" ref="B18:D18" si="15">SUM(B4:B17)</f>
        <v>0</v>
      </c>
      <c r="C18" s="455">
        <f t="shared" si="15"/>
        <v>0</v>
      </c>
      <c r="D18" s="455">
        <f t="shared" si="15"/>
        <v>0</v>
      </c>
      <c r="E18" s="456"/>
      <c r="F18" s="456" t="e">
        <f>AVERAGE(F4:F17)</f>
        <v>#DIV/0!</v>
      </c>
      <c r="G18" s="456"/>
      <c r="H18" s="457"/>
      <c r="I18" s="457"/>
      <c r="K18" s="406" t="s">
        <v>513</v>
      </c>
      <c r="L18" s="428"/>
      <c r="M18" s="428"/>
    </row>
    <row r="19" spans="1:13" ht="12.75" customHeight="1" x14ac:dyDescent="0.3">
      <c r="H19" s="366"/>
      <c r="I19" s="366"/>
      <c r="K19" s="406" t="s">
        <v>514</v>
      </c>
    </row>
    <row r="20" spans="1:13" ht="37.5" customHeight="1" x14ac:dyDescent="0.3">
      <c r="A20" s="412" t="s">
        <v>472</v>
      </c>
      <c r="B20" s="612" t="s">
        <v>446</v>
      </c>
      <c r="C20" s="546"/>
      <c r="D20" s="534"/>
      <c r="E20" s="612" t="s">
        <v>437</v>
      </c>
      <c r="F20" s="534"/>
      <c r="G20" s="447" t="s">
        <v>438</v>
      </c>
      <c r="H20" s="448" t="s">
        <v>447</v>
      </c>
      <c r="I20" s="449"/>
    </row>
    <row r="21" spans="1:13" ht="12" customHeight="1" x14ac:dyDescent="0.3">
      <c r="A21" s="412" t="s">
        <v>472</v>
      </c>
      <c r="B21" s="414">
        <v>2019</v>
      </c>
      <c r="C21" s="414">
        <v>2020</v>
      </c>
      <c r="D21" s="414">
        <v>2021</v>
      </c>
      <c r="E21" s="414">
        <v>2020</v>
      </c>
      <c r="F21" s="414">
        <v>2021</v>
      </c>
      <c r="G21" s="414" t="s">
        <v>521</v>
      </c>
      <c r="H21" s="366"/>
      <c r="I21" s="364"/>
    </row>
    <row r="22" spans="1:13" ht="12.75" customHeight="1" x14ac:dyDescent="0.3">
      <c r="A22" s="374" t="s">
        <v>145</v>
      </c>
      <c r="B22" s="375">
        <f>'Stryker Data(19-21)'!C38</f>
        <v>24519</v>
      </c>
      <c r="C22" s="375">
        <f>'Stryker Data(19-21)'!C56</f>
        <v>18309</v>
      </c>
      <c r="D22" s="420">
        <f>'Stryker Data(19-21)'!C74</f>
        <v>22822</v>
      </c>
      <c r="E22" s="421">
        <f t="shared" ref="E22:F22" si="16">IFERROR(C22/B22-1,"")</f>
        <v>-0.25327297198091281</v>
      </c>
      <c r="F22" s="421">
        <f t="shared" si="16"/>
        <v>0.2464907968758534</v>
      </c>
      <c r="G22" s="421">
        <f t="shared" ref="G22:G36" si="17">IFERROR(((D22/B22)^(1/2)-1),"")</f>
        <v>-3.5226260616381677E-2</v>
      </c>
      <c r="H22" s="362" t="s">
        <v>526</v>
      </c>
      <c r="I22" s="380"/>
    </row>
    <row r="23" spans="1:13" ht="12.75" customHeight="1" x14ac:dyDescent="0.3">
      <c r="A23" s="374" t="s">
        <v>146</v>
      </c>
      <c r="B23" s="375">
        <f>'Stryker Data(19-21)'!C39</f>
        <v>1571</v>
      </c>
      <c r="C23" s="375">
        <f>'Stryker Data(19-21)'!C57</f>
        <v>1295</v>
      </c>
      <c r="D23" s="420">
        <f>'Stryker Data(19-21)'!C75</f>
        <v>795</v>
      </c>
      <c r="E23" s="421">
        <f t="shared" ref="E23:F23" si="18">IFERROR(C23/B23-1,"")</f>
        <v>-0.17568427753023552</v>
      </c>
      <c r="F23" s="421">
        <f t="shared" si="18"/>
        <v>-0.38610038610038611</v>
      </c>
      <c r="G23" s="421">
        <f t="shared" si="17"/>
        <v>-0.28863012169788227</v>
      </c>
      <c r="H23" s="362"/>
      <c r="I23" s="380" t="s">
        <v>527</v>
      </c>
    </row>
    <row r="24" spans="1:13" ht="12.75" customHeight="1" x14ac:dyDescent="0.3">
      <c r="A24" s="374" t="s">
        <v>147</v>
      </c>
      <c r="B24" s="375">
        <f>'Stryker Data(19-21)'!C40</f>
        <v>852</v>
      </c>
      <c r="C24" s="375">
        <f>'Stryker Data(19-21)'!C58</f>
        <v>1056</v>
      </c>
      <c r="D24" s="420">
        <f>'Stryker Data(19-21)'!C76</f>
        <v>1211</v>
      </c>
      <c r="E24" s="421">
        <f t="shared" ref="E24:F24" si="19">IFERROR(C24/B24-1,"")</f>
        <v>0.23943661971830976</v>
      </c>
      <c r="F24" s="421">
        <f t="shared" si="19"/>
        <v>0.14678030303030298</v>
      </c>
      <c r="G24" s="421">
        <f t="shared" si="17"/>
        <v>0.19220866560657823</v>
      </c>
      <c r="H24" s="362" t="s">
        <v>528</v>
      </c>
      <c r="I24" s="380"/>
    </row>
    <row r="25" spans="1:13" ht="12.75" customHeight="1" x14ac:dyDescent="0.3">
      <c r="A25" s="374" t="s">
        <v>148</v>
      </c>
      <c r="B25" s="375">
        <f>'Stryker Data(19-21)'!C41</f>
        <v>0</v>
      </c>
      <c r="C25" s="375">
        <f>'Stryker Data(19-21)'!C59</f>
        <v>0</v>
      </c>
      <c r="D25" s="420">
        <f>'Stryker Data(19-21)'!C77</f>
        <v>6</v>
      </c>
      <c r="E25" s="421" t="str">
        <f t="shared" ref="E25:F25" si="20">IFERROR(C25/B25-1,"")</f>
        <v/>
      </c>
      <c r="F25" s="421" t="str">
        <f t="shared" si="20"/>
        <v/>
      </c>
      <c r="G25" s="421" t="str">
        <f t="shared" si="17"/>
        <v/>
      </c>
      <c r="H25" s="362"/>
      <c r="I25" s="380" t="s">
        <v>527</v>
      </c>
    </row>
    <row r="26" spans="1:13" ht="12.75" customHeight="1" x14ac:dyDescent="0.3">
      <c r="A26" s="374" t="s">
        <v>149</v>
      </c>
      <c r="B26" s="375">
        <f>'Stryker Data(19-21)'!C42</f>
        <v>1085</v>
      </c>
      <c r="C26" s="375">
        <f>'Stryker Data(19-21)'!C60</f>
        <v>1011</v>
      </c>
      <c r="D26" s="420">
        <f>'Stryker Data(19-21)'!C78</f>
        <v>558</v>
      </c>
      <c r="E26" s="421">
        <f t="shared" ref="E26:F26" si="21">IFERROR(C26/B26-1,"")</f>
        <v>-6.8202764976958541E-2</v>
      </c>
      <c r="F26" s="421">
        <f t="shared" si="21"/>
        <v>-0.44807121661721072</v>
      </c>
      <c r="G26" s="421">
        <f t="shared" si="17"/>
        <v>-0.28286283439936388</v>
      </c>
      <c r="H26" s="362"/>
      <c r="I26" s="380" t="s">
        <v>527</v>
      </c>
    </row>
    <row r="27" spans="1:13" ht="12.75" customHeight="1" x14ac:dyDescent="0.3">
      <c r="A27" s="374" t="s">
        <v>198</v>
      </c>
      <c r="B27" s="375">
        <f>'Stryker Data(19-21)'!C43</f>
        <v>2189</v>
      </c>
      <c r="C27" s="375">
        <f>'Stryker Data(19-21)'!C61</f>
        <v>1080</v>
      </c>
      <c r="D27" s="420">
        <f>'Stryker Data(19-21)'!C79</f>
        <v>501</v>
      </c>
      <c r="E27" s="421">
        <f t="shared" ref="E27:F27" si="22">IFERROR(C27/B27-1,"")</f>
        <v>-0.50662402923709449</v>
      </c>
      <c r="F27" s="421">
        <f t="shared" si="22"/>
        <v>-0.53611111111111109</v>
      </c>
      <c r="G27" s="421">
        <f t="shared" si="17"/>
        <v>-0.52159470019482312</v>
      </c>
      <c r="H27" s="362" t="s">
        <v>529</v>
      </c>
      <c r="I27" s="380"/>
    </row>
    <row r="28" spans="1:13" ht="12.75" customHeight="1" x14ac:dyDescent="0.3">
      <c r="A28" s="374" t="s">
        <v>199</v>
      </c>
      <c r="B28" s="375">
        <f>'Stryker Data(19-21)'!C44</f>
        <v>78</v>
      </c>
      <c r="C28" s="375">
        <f>'Stryker Data(19-21)'!C62</f>
        <v>54</v>
      </c>
      <c r="D28" s="420">
        <f>'Stryker Data(19-21)'!C80</f>
        <v>420</v>
      </c>
      <c r="E28" s="421">
        <f t="shared" ref="E28:F28" si="23">IFERROR(C28/B28-1,"")</f>
        <v>-0.30769230769230771</v>
      </c>
      <c r="F28" s="421">
        <f t="shared" si="23"/>
        <v>6.7777777777777777</v>
      </c>
      <c r="G28" s="421">
        <f t="shared" si="17"/>
        <v>1.3204774044612857</v>
      </c>
      <c r="H28" s="362"/>
      <c r="I28" s="380" t="s">
        <v>527</v>
      </c>
    </row>
    <row r="29" spans="1:13" ht="12.75" customHeight="1" x14ac:dyDescent="0.3">
      <c r="A29" s="374" t="s">
        <v>152</v>
      </c>
      <c r="B29" s="375">
        <f>'Stryker Data(19-21)'!C45</f>
        <v>529</v>
      </c>
      <c r="C29" s="375">
        <f>'Stryker Data(19-21)'!C63</f>
        <v>355</v>
      </c>
      <c r="D29" s="420">
        <f>'Stryker Data(19-21)'!C81</f>
        <v>38</v>
      </c>
      <c r="E29" s="421">
        <f t="shared" ref="E29:F29" si="24">IFERROR(C29/B29-1,"")</f>
        <v>-0.32892249527410211</v>
      </c>
      <c r="F29" s="421">
        <f t="shared" si="24"/>
        <v>-0.89295774647887327</v>
      </c>
      <c r="G29" s="421">
        <f t="shared" si="17"/>
        <v>-0.73198199987091406</v>
      </c>
      <c r="H29" s="362" t="s">
        <v>530</v>
      </c>
      <c r="I29" s="380"/>
    </row>
    <row r="30" spans="1:13" ht="12.75" customHeight="1" x14ac:dyDescent="0.3">
      <c r="A30" s="374" t="s">
        <v>153</v>
      </c>
      <c r="B30" s="375">
        <f>'Stryker Data(19-21)'!C46</f>
        <v>3481</v>
      </c>
      <c r="C30" s="375">
        <f>'Stryker Data(19-21)'!C64</f>
        <v>1157</v>
      </c>
      <c r="D30" s="420">
        <f>'Stryker Data(19-21)'!C82</f>
        <v>12</v>
      </c>
      <c r="E30" s="421">
        <f t="shared" ref="E30:F30" si="25">IFERROR(C30/B30-1,"")</f>
        <v>-0.66762424590634872</v>
      </c>
      <c r="F30" s="421">
        <f t="shared" si="25"/>
        <v>-0.98962834917891096</v>
      </c>
      <c r="G30" s="421">
        <f t="shared" si="17"/>
        <v>-0.94128641330274987</v>
      </c>
      <c r="H30" s="362" t="s">
        <v>531</v>
      </c>
      <c r="I30" s="380"/>
    </row>
    <row r="31" spans="1:13" ht="12.75" customHeight="1" x14ac:dyDescent="0.3">
      <c r="A31" s="374" t="s">
        <v>154</v>
      </c>
      <c r="B31" s="375">
        <f>'Stryker Data(19-21)'!C47</f>
        <v>0</v>
      </c>
      <c r="C31" s="375">
        <f>'Stryker Data(19-21)'!C65</f>
        <v>0</v>
      </c>
      <c r="D31" s="420">
        <f>'Stryker Data(19-21)'!C83</f>
        <v>0</v>
      </c>
      <c r="E31" s="421" t="str">
        <f t="shared" ref="E31:F31" si="26">IFERROR(C31/B31-1,"")</f>
        <v/>
      </c>
      <c r="F31" s="421" t="str">
        <f t="shared" si="26"/>
        <v/>
      </c>
      <c r="G31" s="421" t="str">
        <f t="shared" si="17"/>
        <v/>
      </c>
      <c r="H31" s="458"/>
      <c r="I31" s="380" t="s">
        <v>532</v>
      </c>
    </row>
    <row r="32" spans="1:13" ht="12.75" customHeight="1" x14ac:dyDescent="0.3">
      <c r="A32" s="374" t="s">
        <v>155</v>
      </c>
      <c r="B32" s="375">
        <f>'Stryker Data(19-21)'!C48</f>
        <v>0</v>
      </c>
      <c r="C32" s="375">
        <f>'Stryker Data(19-21)'!C66</f>
        <v>0</v>
      </c>
      <c r="D32" s="420">
        <f>'Stryker Data(19-21)'!C84</f>
        <v>0</v>
      </c>
      <c r="E32" s="421" t="str">
        <f t="shared" ref="E32:F32" si="27">IFERROR(C32/B32-1,"")</f>
        <v/>
      </c>
      <c r="F32" s="421" t="str">
        <f t="shared" si="27"/>
        <v/>
      </c>
      <c r="G32" s="421" t="str">
        <f t="shared" si="17"/>
        <v/>
      </c>
      <c r="H32" s="362"/>
      <c r="I32" s="380" t="s">
        <v>527</v>
      </c>
    </row>
    <row r="33" spans="1:9" ht="12.75" customHeight="1" x14ac:dyDescent="0.3">
      <c r="A33" s="374" t="s">
        <v>156</v>
      </c>
      <c r="B33" s="375">
        <f>'Stryker Data(19-21)'!C49</f>
        <v>0</v>
      </c>
      <c r="C33" s="375">
        <f>'Stryker Data(19-21)'!C67</f>
        <v>67</v>
      </c>
      <c r="D33" s="420">
        <f>'Stryker Data(19-21)'!C85</f>
        <v>0</v>
      </c>
      <c r="E33" s="421" t="str">
        <f t="shared" ref="E33:F33" si="28">IFERROR(C33/B33-1,"")</f>
        <v/>
      </c>
      <c r="F33" s="421">
        <f t="shared" si="28"/>
        <v>-1</v>
      </c>
      <c r="G33" s="421" t="str">
        <f t="shared" si="17"/>
        <v/>
      </c>
      <c r="H33" s="362"/>
      <c r="I33" s="380" t="s">
        <v>527</v>
      </c>
    </row>
    <row r="34" spans="1:9" ht="12.75" customHeight="1" x14ac:dyDescent="0.3">
      <c r="A34" s="374" t="s">
        <v>96</v>
      </c>
      <c r="B34" s="375">
        <f>'Stryker Data(19-21)'!C50</f>
        <v>0</v>
      </c>
      <c r="C34" s="375">
        <f>'Stryker Data(19-21)'!C68</f>
        <v>0</v>
      </c>
      <c r="D34" s="420">
        <f>'Stryker Data(19-21)'!C86</f>
        <v>0</v>
      </c>
      <c r="E34" s="421" t="str">
        <f t="shared" ref="E34:F34" si="29">IFERROR(C34/B34-1,"")</f>
        <v/>
      </c>
      <c r="F34" s="421" t="str">
        <f t="shared" si="29"/>
        <v/>
      </c>
      <c r="G34" s="421" t="str">
        <f t="shared" si="17"/>
        <v/>
      </c>
      <c r="H34" s="362"/>
      <c r="I34" s="380" t="s">
        <v>533</v>
      </c>
    </row>
    <row r="35" spans="1:9" ht="12.75" customHeight="1" x14ac:dyDescent="0.3">
      <c r="A35" s="374" t="s">
        <v>158</v>
      </c>
      <c r="B35" s="375">
        <f>'Stryker Data(19-21)'!C51</f>
        <v>0</v>
      </c>
      <c r="C35" s="375">
        <f>'Stryker Data(19-21)'!C69</f>
        <v>0</v>
      </c>
      <c r="D35" s="420">
        <f>'Stryker Data(19-21)'!C87</f>
        <v>0</v>
      </c>
      <c r="E35" s="421" t="str">
        <f t="shared" ref="E35:F35" si="30">IFERROR(C35/B35-1,"")</f>
        <v/>
      </c>
      <c r="F35" s="421" t="str">
        <f t="shared" si="30"/>
        <v/>
      </c>
      <c r="G35" s="421" t="str">
        <f t="shared" si="17"/>
        <v/>
      </c>
      <c r="H35" s="362"/>
      <c r="I35" s="380" t="s">
        <v>527</v>
      </c>
    </row>
    <row r="36" spans="1:9" ht="12.75" customHeight="1" x14ac:dyDescent="0.3">
      <c r="A36" s="377" t="s">
        <v>443</v>
      </c>
      <c r="B36" s="455">
        <f t="shared" ref="B36:D36" si="31">SUM(B22:B35)</f>
        <v>34304</v>
      </c>
      <c r="C36" s="455">
        <f t="shared" si="31"/>
        <v>24384</v>
      </c>
      <c r="D36" s="455">
        <f t="shared" si="31"/>
        <v>26363</v>
      </c>
      <c r="E36" s="456"/>
      <c r="F36" s="456">
        <f>AVERAGE(F22,F23,F24,F26,F27,F28,F29,F30,F33)</f>
        <v>0.32424222979971573</v>
      </c>
      <c r="G36" s="456">
        <f t="shared" si="17"/>
        <v>-0.12335243066503887</v>
      </c>
      <c r="H36" s="366"/>
      <c r="I36" s="364"/>
    </row>
    <row r="37" spans="1:9" ht="12.75" customHeight="1" x14ac:dyDescent="0.3">
      <c r="B37" s="459" t="e">
        <f t="shared" ref="B37:D37" si="32">B36/B18</f>
        <v>#DIV/0!</v>
      </c>
      <c r="C37" s="459" t="e">
        <f t="shared" si="32"/>
        <v>#DIV/0!</v>
      </c>
      <c r="D37" s="459" t="e">
        <f t="shared" si="32"/>
        <v>#DIV/0!</v>
      </c>
      <c r="H37" s="366"/>
      <c r="I37" s="460" t="s">
        <v>534</v>
      </c>
    </row>
    <row r="38" spans="1:9" ht="12.75" customHeight="1" x14ac:dyDescent="0.3">
      <c r="A38" s="412" t="s">
        <v>472</v>
      </c>
      <c r="B38" s="612" t="s">
        <v>535</v>
      </c>
      <c r="C38" s="546"/>
      <c r="D38" s="534"/>
      <c r="E38" s="612" t="s">
        <v>437</v>
      </c>
      <c r="F38" s="534"/>
      <c r="G38" s="447" t="s">
        <v>438</v>
      </c>
      <c r="H38" s="366"/>
      <c r="I38" s="366"/>
    </row>
    <row r="39" spans="1:9" ht="12.75" customHeight="1" x14ac:dyDescent="0.3">
      <c r="A39" s="412" t="s">
        <v>472</v>
      </c>
      <c r="B39" s="414">
        <v>2019</v>
      </c>
      <c r="C39" s="414">
        <v>2020</v>
      </c>
      <c r="D39" s="414">
        <v>2021</v>
      </c>
      <c r="E39" s="414">
        <v>2020</v>
      </c>
      <c r="F39" s="414">
        <v>2021</v>
      </c>
      <c r="G39" s="414" t="s">
        <v>521</v>
      </c>
      <c r="H39" s="366"/>
      <c r="I39" s="380"/>
    </row>
    <row r="40" spans="1:9" ht="12.75" customHeight="1" x14ac:dyDescent="0.3">
      <c r="A40" s="374" t="s">
        <v>145</v>
      </c>
      <c r="B40" s="375">
        <f>'Stryker Data(19-21)'!E38</f>
        <v>27520</v>
      </c>
      <c r="C40" s="375">
        <f>'Stryker Data(19-21)'!E56</f>
        <v>23186</v>
      </c>
      <c r="D40" s="420">
        <f>'Stryker Data(19-21)'!E74</f>
        <v>26191</v>
      </c>
      <c r="E40" s="421">
        <f t="shared" ref="E40:F40" si="33">IFERROR(C40/B40-1,"")</f>
        <v>-0.15748546511627903</v>
      </c>
      <c r="F40" s="421">
        <f t="shared" si="33"/>
        <v>0.12960407142241004</v>
      </c>
      <c r="G40" s="421">
        <f t="shared" ref="G40:G54" si="34">IFERROR(((D40/B40)^(1/2)-1),"")</f>
        <v>-2.444485095038873E-2</v>
      </c>
      <c r="H40" s="366"/>
      <c r="I40" s="366"/>
    </row>
    <row r="41" spans="1:9" ht="12.75" customHeight="1" x14ac:dyDescent="0.3">
      <c r="A41" s="374" t="s">
        <v>146</v>
      </c>
      <c r="B41" s="375">
        <f>'Stryker Data(19-21)'!E39</f>
        <v>801</v>
      </c>
      <c r="C41" s="375">
        <f>'Stryker Data(19-21)'!E57</f>
        <v>766</v>
      </c>
      <c r="D41" s="420">
        <f>'Stryker Data(19-21)'!E75</f>
        <v>591</v>
      </c>
      <c r="E41" s="421">
        <f t="shared" ref="E41:F41" si="35">IFERROR(C41/B41-1,"")</f>
        <v>-4.3695380774032455E-2</v>
      </c>
      <c r="F41" s="421">
        <f t="shared" si="35"/>
        <v>-0.22845953002610964</v>
      </c>
      <c r="G41" s="421">
        <f t="shared" si="34"/>
        <v>-0.14103101606879587</v>
      </c>
      <c r="H41" s="366"/>
      <c r="I41" s="366"/>
    </row>
    <row r="42" spans="1:9" ht="12.75" customHeight="1" x14ac:dyDescent="0.3">
      <c r="A42" s="374" t="s">
        <v>147</v>
      </c>
      <c r="B42" s="375">
        <f>'Stryker Data(19-21)'!E40</f>
        <v>7575</v>
      </c>
      <c r="C42" s="375">
        <f>'Stryker Data(19-21)'!E58</f>
        <v>7026</v>
      </c>
      <c r="D42" s="420">
        <f>'Stryker Data(19-21)'!E76</f>
        <v>8180</v>
      </c>
      <c r="E42" s="421">
        <f t="shared" ref="E42:F42" si="36">IFERROR(C42/B42-1,"")</f>
        <v>-7.2475247524752429E-2</v>
      </c>
      <c r="F42" s="421">
        <f t="shared" si="36"/>
        <v>0.1642470822658697</v>
      </c>
      <c r="G42" s="421">
        <f t="shared" si="34"/>
        <v>3.9166967719182155E-2</v>
      </c>
      <c r="H42" s="366"/>
      <c r="I42" s="366"/>
    </row>
    <row r="43" spans="1:9" ht="12.75" customHeight="1" x14ac:dyDescent="0.3">
      <c r="A43" s="374" t="s">
        <v>148</v>
      </c>
      <c r="B43" s="375">
        <f>'Stryker Data(19-21)'!E41</f>
        <v>1144</v>
      </c>
      <c r="C43" s="375">
        <f>'Stryker Data(19-21)'!E59</f>
        <v>1181</v>
      </c>
      <c r="D43" s="420">
        <f>'Stryker Data(19-21)'!E77</f>
        <v>1748</v>
      </c>
      <c r="E43" s="421">
        <f t="shared" ref="E43:F43" si="37">IFERROR(C43/B43-1,"")</f>
        <v>3.2342657342657288E-2</v>
      </c>
      <c r="F43" s="421">
        <f t="shared" si="37"/>
        <v>0.48010160880609654</v>
      </c>
      <c r="G43" s="421">
        <f t="shared" si="34"/>
        <v>0.23611165675760382</v>
      </c>
      <c r="H43" s="366"/>
      <c r="I43" s="366"/>
    </row>
    <row r="44" spans="1:9" ht="12.75" customHeight="1" x14ac:dyDescent="0.3">
      <c r="A44" s="374" t="s">
        <v>149</v>
      </c>
      <c r="B44" s="375">
        <f>'Stryker Data(19-21)'!E42</f>
        <v>3684</v>
      </c>
      <c r="C44" s="375">
        <f>'Stryker Data(19-21)'!E60</f>
        <v>2753</v>
      </c>
      <c r="D44" s="420">
        <f>'Stryker Data(19-21)'!E78</f>
        <v>2331</v>
      </c>
      <c r="E44" s="421">
        <f t="shared" ref="E44:F44" si="38">IFERROR(C44/B44-1,"")</f>
        <v>-0.25271444082519001</v>
      </c>
      <c r="F44" s="421">
        <f t="shared" si="38"/>
        <v>-0.15328732292045044</v>
      </c>
      <c r="G44" s="421">
        <f t="shared" si="34"/>
        <v>-0.20455285760033592</v>
      </c>
      <c r="H44" s="366"/>
      <c r="I44" s="366"/>
    </row>
    <row r="45" spans="1:9" ht="12.75" customHeight="1" x14ac:dyDescent="0.3">
      <c r="A45" s="374" t="s">
        <v>198</v>
      </c>
      <c r="B45" s="375">
        <f>'Stryker Data(19-21)'!E43</f>
        <v>6392</v>
      </c>
      <c r="C45" s="375">
        <f>'Stryker Data(19-21)'!E61</f>
        <v>3903</v>
      </c>
      <c r="D45" s="420">
        <f>'Stryker Data(19-21)'!E79</f>
        <v>3356</v>
      </c>
      <c r="E45" s="421">
        <f t="shared" ref="E45:F45" si="39">IFERROR(C45/B45-1,"")</f>
        <v>-0.3893929912390488</v>
      </c>
      <c r="F45" s="421">
        <f t="shared" si="39"/>
        <v>-0.14014860363822701</v>
      </c>
      <c r="G45" s="421">
        <f t="shared" si="34"/>
        <v>-0.27540957147407119</v>
      </c>
      <c r="H45" s="366"/>
      <c r="I45" s="366"/>
    </row>
    <row r="46" spans="1:9" ht="12.75" customHeight="1" x14ac:dyDescent="0.3">
      <c r="A46" s="374" t="s">
        <v>199</v>
      </c>
      <c r="B46" s="375">
        <f>'Stryker Data(19-21)'!E44</f>
        <v>2742</v>
      </c>
      <c r="C46" s="375">
        <f>'Stryker Data(19-21)'!E62</f>
        <v>2555</v>
      </c>
      <c r="D46" s="420">
        <f>'Stryker Data(19-21)'!E80</f>
        <v>2707</v>
      </c>
      <c r="E46" s="421">
        <f t="shared" ref="E46:F46" si="40">IFERROR(C46/B46-1,"")</f>
        <v>-6.8198395331874551E-2</v>
      </c>
      <c r="F46" s="421">
        <f t="shared" si="40"/>
        <v>5.9491193737769121E-2</v>
      </c>
      <c r="G46" s="421">
        <f t="shared" si="34"/>
        <v>-6.4027000557010938E-3</v>
      </c>
      <c r="H46" s="366"/>
      <c r="I46" s="366"/>
    </row>
    <row r="47" spans="1:9" ht="12.75" customHeight="1" x14ac:dyDescent="0.3">
      <c r="A47" s="374" t="s">
        <v>152</v>
      </c>
      <c r="B47" s="375">
        <f>'Stryker Data(19-21)'!E45</f>
        <v>2517</v>
      </c>
      <c r="C47" s="375">
        <f>'Stryker Data(19-21)'!E63</f>
        <v>1889</v>
      </c>
      <c r="D47" s="420">
        <f>'Stryker Data(19-21)'!E81</f>
        <v>159</v>
      </c>
      <c r="E47" s="421">
        <f t="shared" ref="E47:F47" si="41">IFERROR(C47/B47-1,"")</f>
        <v>-0.24950337703615411</v>
      </c>
      <c r="F47" s="421">
        <f t="shared" si="41"/>
        <v>-0.91582848067760714</v>
      </c>
      <c r="G47" s="421">
        <f t="shared" si="34"/>
        <v>-0.74866269476818226</v>
      </c>
      <c r="H47" s="366"/>
      <c r="I47" s="366"/>
    </row>
    <row r="48" spans="1:9" ht="12.75" customHeight="1" x14ac:dyDescent="0.3">
      <c r="A48" s="374" t="s">
        <v>153</v>
      </c>
      <c r="B48" s="375">
        <f>'Stryker Data(19-21)'!E46</f>
        <v>42579</v>
      </c>
      <c r="C48" s="375">
        <f>'Stryker Data(19-21)'!E64</f>
        <v>32265</v>
      </c>
      <c r="D48" s="420">
        <f>'Stryker Data(19-21)'!E82</f>
        <v>24256</v>
      </c>
      <c r="E48" s="421">
        <f t="shared" ref="E48:F48" si="42">IFERROR(C48/B48-1,"")</f>
        <v>-0.24223208623969561</v>
      </c>
      <c r="F48" s="421">
        <f t="shared" si="42"/>
        <v>-0.24822563148922983</v>
      </c>
      <c r="G48" s="421">
        <f t="shared" si="34"/>
        <v>-0.24523480813906329</v>
      </c>
      <c r="H48" s="366"/>
      <c r="I48" s="366"/>
    </row>
    <row r="49" spans="1:9" ht="12.75" customHeight="1" x14ac:dyDescent="0.3">
      <c r="A49" s="374" t="s">
        <v>154</v>
      </c>
      <c r="B49" s="375">
        <f>'Stryker Data(19-21)'!E47</f>
        <v>0</v>
      </c>
      <c r="C49" s="375">
        <f>'Stryker Data(19-21)'!E65</f>
        <v>150</v>
      </c>
      <c r="D49" s="420">
        <f>'Stryker Data(19-21)'!E83</f>
        <v>78</v>
      </c>
      <c r="E49" s="421" t="str">
        <f t="shared" ref="E49:F49" si="43">IFERROR(C49/B49-1,"")</f>
        <v/>
      </c>
      <c r="F49" s="421">
        <f t="shared" si="43"/>
        <v>-0.48</v>
      </c>
      <c r="G49" s="421" t="str">
        <f t="shared" si="34"/>
        <v/>
      </c>
      <c r="H49" s="366"/>
      <c r="I49" s="366"/>
    </row>
    <row r="50" spans="1:9" ht="12.75" customHeight="1" x14ac:dyDescent="0.3">
      <c r="A50" s="374" t="s">
        <v>155</v>
      </c>
      <c r="B50" s="375">
        <f>'Stryker Data(19-21)'!E48</f>
        <v>465</v>
      </c>
      <c r="C50" s="375">
        <f>'Stryker Data(19-21)'!E66</f>
        <v>625</v>
      </c>
      <c r="D50" s="420">
        <f>'Stryker Data(19-21)'!E84</f>
        <v>543</v>
      </c>
      <c r="E50" s="421">
        <f t="shared" ref="E50:F50" si="44">IFERROR(C50/B50-1,"")</f>
        <v>0.34408602150537626</v>
      </c>
      <c r="F50" s="421">
        <f t="shared" si="44"/>
        <v>-0.13119999999999998</v>
      </c>
      <c r="G50" s="421">
        <f t="shared" si="34"/>
        <v>8.0621087839706673E-2</v>
      </c>
      <c r="H50" s="366"/>
      <c r="I50" s="366"/>
    </row>
    <row r="51" spans="1:9" ht="12.75" customHeight="1" x14ac:dyDescent="0.3">
      <c r="A51" s="374" t="s">
        <v>156</v>
      </c>
      <c r="B51" s="375">
        <f>'Stryker Data(19-21)'!E49</f>
        <v>31</v>
      </c>
      <c r="C51" s="375">
        <f>'Stryker Data(19-21)'!E67</f>
        <v>29</v>
      </c>
      <c r="D51" s="420">
        <f>'Stryker Data(19-21)'!E85</f>
        <v>8</v>
      </c>
      <c r="E51" s="421">
        <f t="shared" ref="E51:F51" si="45">IFERROR(C51/B51-1,"")</f>
        <v>-6.4516129032258118E-2</v>
      </c>
      <c r="F51" s="421">
        <f t="shared" si="45"/>
        <v>-0.72413793103448276</v>
      </c>
      <c r="G51" s="421">
        <f t="shared" si="34"/>
        <v>-0.49199949199923798</v>
      </c>
      <c r="H51" s="366"/>
      <c r="I51" s="366"/>
    </row>
    <row r="52" spans="1:9" ht="12.75" customHeight="1" x14ac:dyDescent="0.3">
      <c r="A52" s="374" t="s">
        <v>96</v>
      </c>
      <c r="B52" s="375">
        <f>'Stryker Data(19-21)'!E50</f>
        <v>0</v>
      </c>
      <c r="C52" s="375">
        <f>'Stryker Data(19-21)'!E68</f>
        <v>1</v>
      </c>
      <c r="D52" s="420">
        <f>'Stryker Data(19-21)'!E86</f>
        <v>3</v>
      </c>
      <c r="E52" s="421" t="str">
        <f t="shared" ref="E52:F52" si="46">IFERROR(C52/B52-1,"")</f>
        <v/>
      </c>
      <c r="F52" s="421">
        <f t="shared" si="46"/>
        <v>2</v>
      </c>
      <c r="G52" s="421" t="str">
        <f t="shared" si="34"/>
        <v/>
      </c>
      <c r="H52" s="366"/>
      <c r="I52" s="366"/>
    </row>
    <row r="53" spans="1:9" ht="12.75" customHeight="1" x14ac:dyDescent="0.3">
      <c r="A53" s="374" t="s">
        <v>158</v>
      </c>
      <c r="B53" s="375">
        <f>'Stryker Data(19-21)'!E51</f>
        <v>1</v>
      </c>
      <c r="C53" s="375">
        <f>'Stryker Data(19-21)'!E69</f>
        <v>0</v>
      </c>
      <c r="D53" s="420">
        <f>'Stryker Data(19-21)'!E87</f>
        <v>0</v>
      </c>
      <c r="E53" s="421">
        <f t="shared" ref="E53:F53" si="47">IFERROR(C53/B53-1,"")</f>
        <v>-1</v>
      </c>
      <c r="F53" s="421" t="str">
        <f t="shared" si="47"/>
        <v/>
      </c>
      <c r="G53" s="421">
        <f t="shared" si="34"/>
        <v>-1</v>
      </c>
      <c r="H53" s="366"/>
      <c r="I53" s="366"/>
    </row>
    <row r="54" spans="1:9" ht="12.75" customHeight="1" x14ac:dyDescent="0.3">
      <c r="A54" s="377" t="s">
        <v>443</v>
      </c>
      <c r="B54" s="455">
        <f t="shared" ref="B54:D54" si="48">SUM(B40:B53)</f>
        <v>95451</v>
      </c>
      <c r="C54" s="455">
        <f t="shared" si="48"/>
        <v>76329</v>
      </c>
      <c r="D54" s="455">
        <f t="shared" si="48"/>
        <v>70151</v>
      </c>
      <c r="E54" s="456">
        <f t="shared" ref="E54:F54" si="49">IFERROR(C54/B54-1,"")</f>
        <v>-0.20033315523147999</v>
      </c>
      <c r="F54" s="456">
        <f t="shared" si="49"/>
        <v>-8.0939092612244412E-2</v>
      </c>
      <c r="G54" s="456">
        <f t="shared" si="34"/>
        <v>-0.14271210438916182</v>
      </c>
      <c r="H54" s="366"/>
      <c r="I54" s="366"/>
    </row>
    <row r="55" spans="1:9" ht="12.75" customHeight="1" x14ac:dyDescent="0.3">
      <c r="H55" s="366"/>
      <c r="I55" s="366"/>
    </row>
    <row r="56" spans="1:9" ht="12.75" customHeight="1" x14ac:dyDescent="0.3">
      <c r="A56" s="412" t="s">
        <v>472</v>
      </c>
      <c r="B56" s="612" t="s">
        <v>536</v>
      </c>
      <c r="C56" s="546"/>
      <c r="D56" s="534"/>
      <c r="E56" s="612" t="s">
        <v>437</v>
      </c>
      <c r="F56" s="534"/>
      <c r="G56" s="447" t="s">
        <v>438</v>
      </c>
      <c r="H56" s="366"/>
      <c r="I56" s="366"/>
    </row>
    <row r="57" spans="1:9" ht="12.75" customHeight="1" x14ac:dyDescent="0.3">
      <c r="A57" s="412" t="s">
        <v>472</v>
      </c>
      <c r="B57" s="414">
        <v>2019</v>
      </c>
      <c r="C57" s="414">
        <v>2020</v>
      </c>
      <c r="D57" s="414">
        <v>2021</v>
      </c>
      <c r="E57" s="414">
        <v>2020</v>
      </c>
      <c r="F57" s="414">
        <v>2021</v>
      </c>
      <c r="G57" s="414" t="s">
        <v>521</v>
      </c>
      <c r="H57" s="366"/>
      <c r="I57" s="366"/>
    </row>
    <row r="58" spans="1:9" ht="12.75" customHeight="1" x14ac:dyDescent="0.3">
      <c r="A58" s="374" t="s">
        <v>145</v>
      </c>
      <c r="B58" s="375">
        <f>'Stryker Data(19-21)'!H38</f>
        <v>235834</v>
      </c>
      <c r="C58" s="375">
        <f>'Stryker Data(19-21)'!H56</f>
        <v>172006</v>
      </c>
      <c r="D58" s="420">
        <f>'Stryker Data(19-21)'!H74</f>
        <v>219552</v>
      </c>
      <c r="E58" s="421">
        <f t="shared" ref="E58:F58" si="50">IFERROR(C58/B58-1,"")</f>
        <v>-0.27064799816820306</v>
      </c>
      <c r="F58" s="421">
        <f t="shared" si="50"/>
        <v>0.27642058997941943</v>
      </c>
      <c r="G58" s="421">
        <f t="shared" ref="G58:G72" si="51">IFERROR(((D58/B58)^(1/2)-1),"")</f>
        <v>-3.5137360822374508E-2</v>
      </c>
      <c r="H58" s="366"/>
      <c r="I58" s="366"/>
    </row>
    <row r="59" spans="1:9" ht="12.75" customHeight="1" x14ac:dyDescent="0.3">
      <c r="A59" s="374" t="s">
        <v>146</v>
      </c>
      <c r="B59" s="375">
        <f>'Stryker Data(19-21)'!H39</f>
        <v>84944</v>
      </c>
      <c r="C59" s="375">
        <f>'Stryker Data(19-21)'!H57</f>
        <v>67712</v>
      </c>
      <c r="D59" s="420">
        <f>'Stryker Data(19-21)'!H75</f>
        <v>42747</v>
      </c>
      <c r="E59" s="421">
        <f t="shared" ref="E59:F59" si="52">IFERROR(C59/B59-1,"")</f>
        <v>-0.20286306272367682</v>
      </c>
      <c r="F59" s="421">
        <f t="shared" si="52"/>
        <v>-0.36869387996219283</v>
      </c>
      <c r="G59" s="421">
        <f t="shared" si="51"/>
        <v>-0.29060770584200979</v>
      </c>
      <c r="H59" s="366"/>
      <c r="I59" s="366"/>
    </row>
    <row r="60" spans="1:9" ht="12.75" customHeight="1" x14ac:dyDescent="0.3">
      <c r="A60" s="374" t="s">
        <v>147</v>
      </c>
      <c r="B60" s="375">
        <f>'Stryker Data(19-21)'!H40</f>
        <v>309031</v>
      </c>
      <c r="C60" s="375">
        <f>'Stryker Data(19-21)'!H58</f>
        <v>427074</v>
      </c>
      <c r="D60" s="420">
        <f>'Stryker Data(19-21)'!H76</f>
        <v>471959</v>
      </c>
      <c r="E60" s="421">
        <f t="shared" ref="E60:F60" si="53">IFERROR(C60/B60-1,"")</f>
        <v>0.38197785982636057</v>
      </c>
      <c r="F60" s="421">
        <f t="shared" si="53"/>
        <v>0.10509888216093688</v>
      </c>
      <c r="G60" s="421">
        <f t="shared" si="51"/>
        <v>0.23580831364142996</v>
      </c>
      <c r="H60" s="366"/>
      <c r="I60" s="366"/>
    </row>
    <row r="61" spans="1:9" ht="12.75" customHeight="1" x14ac:dyDescent="0.3">
      <c r="A61" s="374" t="s">
        <v>148</v>
      </c>
      <c r="B61" s="375">
        <f>'Stryker Data(19-21)'!H41</f>
        <v>0</v>
      </c>
      <c r="C61" s="375">
        <f>'Stryker Data(19-21)'!H59</f>
        <v>0</v>
      </c>
      <c r="D61" s="420">
        <f>'Stryker Data(19-21)'!H77</f>
        <v>0</v>
      </c>
      <c r="E61" s="421" t="str">
        <f t="shared" ref="E61:F61" si="54">IFERROR(C61/B61-1,"")</f>
        <v/>
      </c>
      <c r="F61" s="421" t="str">
        <f t="shared" si="54"/>
        <v/>
      </c>
      <c r="G61" s="421" t="str">
        <f t="shared" si="51"/>
        <v/>
      </c>
      <c r="H61" s="366"/>
      <c r="I61" s="366"/>
    </row>
    <row r="62" spans="1:9" ht="12.75" customHeight="1" x14ac:dyDescent="0.3">
      <c r="A62" s="374" t="s">
        <v>149</v>
      </c>
      <c r="B62" s="375">
        <f>'Stryker Data(19-21)'!H42</f>
        <v>349446</v>
      </c>
      <c r="C62" s="375">
        <f>'Stryker Data(19-21)'!H60</f>
        <v>325434</v>
      </c>
      <c r="D62" s="420">
        <f>'Stryker Data(19-21)'!H78</f>
        <v>161572</v>
      </c>
      <c r="E62" s="421">
        <f t="shared" ref="E62:F62" si="55">IFERROR(C62/B62-1,"")</f>
        <v>-6.8714479490393332E-2</v>
      </c>
      <c r="F62" s="421">
        <f t="shared" si="55"/>
        <v>-0.50351837853451076</v>
      </c>
      <c r="G62" s="421">
        <f t="shared" si="51"/>
        <v>-0.32002489363952336</v>
      </c>
      <c r="H62" s="366"/>
      <c r="I62" s="366"/>
    </row>
    <row r="63" spans="1:9" ht="12.75" customHeight="1" x14ac:dyDescent="0.3">
      <c r="A63" s="374" t="s">
        <v>198</v>
      </c>
      <c r="B63" s="375">
        <f>'Stryker Data(19-21)'!H43</f>
        <v>49181</v>
      </c>
      <c r="C63" s="375">
        <f>'Stryker Data(19-21)'!H61</f>
        <v>21819</v>
      </c>
      <c r="D63" s="420">
        <f>'Stryker Data(19-21)'!H79</f>
        <v>10171</v>
      </c>
      <c r="E63" s="421">
        <f t="shared" ref="E63:F63" si="56">IFERROR(C63/B63-1,"")</f>
        <v>-0.55635306317480326</v>
      </c>
      <c r="F63" s="421">
        <f t="shared" si="56"/>
        <v>-0.53384664741738852</v>
      </c>
      <c r="G63" s="421">
        <f t="shared" si="51"/>
        <v>-0.54523906614126205</v>
      </c>
      <c r="H63" s="366"/>
      <c r="I63" s="366"/>
    </row>
    <row r="64" spans="1:9" ht="12.75" customHeight="1" x14ac:dyDescent="0.3">
      <c r="A64" s="374" t="s">
        <v>199</v>
      </c>
      <c r="B64" s="375">
        <f>'Stryker Data(19-21)'!H44</f>
        <v>1989</v>
      </c>
      <c r="C64" s="375">
        <f>'Stryker Data(19-21)'!H62</f>
        <v>1351</v>
      </c>
      <c r="D64" s="420">
        <f>'Stryker Data(19-21)'!H80</f>
        <v>10158</v>
      </c>
      <c r="E64" s="421">
        <f t="shared" ref="E64:F64" si="57">IFERROR(C64/B64-1,"")</f>
        <v>-0.32076420311714426</v>
      </c>
      <c r="F64" s="421">
        <f t="shared" si="57"/>
        <v>6.5188749074759436</v>
      </c>
      <c r="G64" s="421">
        <f t="shared" si="51"/>
        <v>1.2598869417388849</v>
      </c>
      <c r="H64" s="366"/>
      <c r="I64" s="366"/>
    </row>
    <row r="65" spans="1:9" ht="12.75" customHeight="1" x14ac:dyDescent="0.3">
      <c r="A65" s="374" t="s">
        <v>152</v>
      </c>
      <c r="B65" s="375">
        <f>'Stryker Data(19-21)'!H45</f>
        <v>9133</v>
      </c>
      <c r="C65" s="375">
        <f>'Stryker Data(19-21)'!H63</f>
        <v>5725</v>
      </c>
      <c r="D65" s="420">
        <f>'Stryker Data(19-21)'!H81</f>
        <v>706</v>
      </c>
      <c r="E65" s="421">
        <f t="shared" ref="E65:F65" si="58">IFERROR(C65/B65-1,"")</f>
        <v>-0.37315230482864337</v>
      </c>
      <c r="F65" s="421">
        <f t="shared" si="58"/>
        <v>-0.87668122270742355</v>
      </c>
      <c r="G65" s="421">
        <f t="shared" si="51"/>
        <v>-0.72196746356370212</v>
      </c>
      <c r="H65" s="366"/>
      <c r="I65" s="366"/>
    </row>
    <row r="66" spans="1:9" ht="12.75" customHeight="1" x14ac:dyDescent="0.3">
      <c r="A66" s="374" t="s">
        <v>153</v>
      </c>
      <c r="B66" s="375">
        <f>'Stryker Data(19-21)'!H46</f>
        <v>72366</v>
      </c>
      <c r="C66" s="375">
        <f>'Stryker Data(19-21)'!H64</f>
        <v>21923</v>
      </c>
      <c r="D66" s="420">
        <f>'Stryker Data(19-21)'!H82</f>
        <v>163</v>
      </c>
      <c r="E66" s="421">
        <f t="shared" ref="E66:F66" si="59">IFERROR(C66/B66-1,"")</f>
        <v>-0.69705386507475886</v>
      </c>
      <c r="F66" s="421">
        <f t="shared" si="59"/>
        <v>-0.9925648861925831</v>
      </c>
      <c r="G66" s="421">
        <f t="shared" si="51"/>
        <v>-0.95254013284167105</v>
      </c>
      <c r="H66" s="366"/>
      <c r="I66" s="366"/>
    </row>
    <row r="67" spans="1:9" ht="12.75" customHeight="1" x14ac:dyDescent="0.3">
      <c r="A67" s="374" t="s">
        <v>154</v>
      </c>
      <c r="B67" s="375">
        <f>'Stryker Data(19-21)'!H47</f>
        <v>0</v>
      </c>
      <c r="C67" s="375">
        <f>'Stryker Data(19-21)'!H65</f>
        <v>0</v>
      </c>
      <c r="D67" s="420">
        <f>'Stryker Data(19-21)'!H83</f>
        <v>0</v>
      </c>
      <c r="E67" s="421" t="str">
        <f t="shared" ref="E67:F67" si="60">IFERROR(C67/B67-1,"")</f>
        <v/>
      </c>
      <c r="F67" s="421" t="str">
        <f t="shared" si="60"/>
        <v/>
      </c>
      <c r="G67" s="421" t="str">
        <f t="shared" si="51"/>
        <v/>
      </c>
      <c r="H67" s="366"/>
      <c r="I67" s="366"/>
    </row>
    <row r="68" spans="1:9" ht="12.75" customHeight="1" x14ac:dyDescent="0.3">
      <c r="A68" s="374" t="s">
        <v>155</v>
      </c>
      <c r="B68" s="375">
        <f>'Stryker Data(19-21)'!H48</f>
        <v>0</v>
      </c>
      <c r="C68" s="375">
        <f>'Stryker Data(19-21)'!H66</f>
        <v>0</v>
      </c>
      <c r="D68" s="420">
        <f>'Stryker Data(19-21)'!H84</f>
        <v>0</v>
      </c>
      <c r="E68" s="421" t="str">
        <f t="shared" ref="E68:F68" si="61">IFERROR(C68/B68-1,"")</f>
        <v/>
      </c>
      <c r="F68" s="421" t="str">
        <f t="shared" si="61"/>
        <v/>
      </c>
      <c r="G68" s="421" t="str">
        <f t="shared" si="51"/>
        <v/>
      </c>
      <c r="H68" s="366"/>
      <c r="I68" s="366"/>
    </row>
    <row r="69" spans="1:9" ht="12.75" customHeight="1" x14ac:dyDescent="0.3">
      <c r="A69" s="374" t="s">
        <v>156</v>
      </c>
      <c r="B69" s="375">
        <f>'Stryker Data(19-21)'!H49</f>
        <v>0</v>
      </c>
      <c r="C69" s="375">
        <f>'Stryker Data(19-21)'!H67</f>
        <v>1148</v>
      </c>
      <c r="D69" s="420">
        <f>'Stryker Data(19-21)'!H85</f>
        <v>0</v>
      </c>
      <c r="E69" s="421" t="str">
        <f t="shared" ref="E69:F69" si="62">IFERROR(C69/B69-1,"")</f>
        <v/>
      </c>
      <c r="F69" s="421">
        <f t="shared" si="62"/>
        <v>-1</v>
      </c>
      <c r="G69" s="421" t="str">
        <f t="shared" si="51"/>
        <v/>
      </c>
      <c r="H69" s="366"/>
      <c r="I69" s="366"/>
    </row>
    <row r="70" spans="1:9" ht="12.75" customHeight="1" x14ac:dyDescent="0.3">
      <c r="A70" s="374" t="s">
        <v>96</v>
      </c>
      <c r="B70" s="375">
        <f>'Stryker Data(19-21)'!H50</f>
        <v>0</v>
      </c>
      <c r="C70" s="375">
        <f>'Stryker Data(19-21)'!H68</f>
        <v>0</v>
      </c>
      <c r="D70" s="420">
        <f>'Stryker Data(19-21)'!H86</f>
        <v>0</v>
      </c>
      <c r="E70" s="421" t="str">
        <f t="shared" ref="E70:F70" si="63">IFERROR(C70/B70-1,"")</f>
        <v/>
      </c>
      <c r="F70" s="421" t="str">
        <f t="shared" si="63"/>
        <v/>
      </c>
      <c r="G70" s="421" t="str">
        <f t="shared" si="51"/>
        <v/>
      </c>
      <c r="H70" s="366"/>
      <c r="I70" s="366"/>
    </row>
    <row r="71" spans="1:9" ht="12.75" customHeight="1" x14ac:dyDescent="0.3">
      <c r="A71" s="374" t="s">
        <v>158</v>
      </c>
      <c r="B71" s="375">
        <f>'Stryker Data(19-21)'!H51</f>
        <v>0</v>
      </c>
      <c r="C71" s="375">
        <f>'Stryker Data(19-21)'!H69</f>
        <v>0</v>
      </c>
      <c r="D71" s="420">
        <f>'Stryker Data(19-21)'!H87</f>
        <v>0</v>
      </c>
      <c r="E71" s="421" t="str">
        <f t="shared" ref="E71:F71" si="64">IFERROR(C71/B71-1,"")</f>
        <v/>
      </c>
      <c r="F71" s="421" t="str">
        <f t="shared" si="64"/>
        <v/>
      </c>
      <c r="G71" s="421" t="str">
        <f t="shared" si="51"/>
        <v/>
      </c>
      <c r="H71" s="366"/>
      <c r="I71" s="366"/>
    </row>
    <row r="72" spans="1:9" ht="12.75" customHeight="1" x14ac:dyDescent="0.3">
      <c r="A72" s="377"/>
      <c r="B72" s="455">
        <f t="shared" ref="B72:D72" si="65">SUM(B58:B71)</f>
        <v>1111924</v>
      </c>
      <c r="C72" s="455">
        <f t="shared" si="65"/>
        <v>1044192</v>
      </c>
      <c r="D72" s="455">
        <f t="shared" si="65"/>
        <v>917028</v>
      </c>
      <c r="E72" s="456">
        <f t="shared" ref="E72:F72" si="66">IFERROR(C72/B72-1,"")</f>
        <v>-6.0914235145567486E-2</v>
      </c>
      <c r="F72" s="456">
        <f t="shared" si="66"/>
        <v>-0.12178220097453341</v>
      </c>
      <c r="G72" s="456">
        <f t="shared" si="51"/>
        <v>-9.1858032295276781E-2</v>
      </c>
      <c r="H72" s="366"/>
      <c r="I72" s="366"/>
    </row>
    <row r="73" spans="1:9" ht="12.75" customHeight="1" x14ac:dyDescent="0.3">
      <c r="H73" s="366"/>
      <c r="I73" s="366"/>
    </row>
    <row r="74" spans="1:9" ht="12.75" customHeight="1" x14ac:dyDescent="0.3">
      <c r="A74" s="412" t="s">
        <v>472</v>
      </c>
      <c r="B74" s="612" t="s">
        <v>537</v>
      </c>
      <c r="C74" s="546"/>
      <c r="D74" s="534"/>
      <c r="E74" s="612" t="s">
        <v>437</v>
      </c>
      <c r="F74" s="534"/>
      <c r="G74" s="447" t="s">
        <v>438</v>
      </c>
      <c r="H74" s="366"/>
      <c r="I74" s="366"/>
    </row>
    <row r="75" spans="1:9" ht="12.75" customHeight="1" x14ac:dyDescent="0.3">
      <c r="A75" s="412" t="s">
        <v>472</v>
      </c>
      <c r="B75" s="414">
        <v>2019</v>
      </c>
      <c r="C75" s="414">
        <v>2020</v>
      </c>
      <c r="D75" s="414">
        <v>2021</v>
      </c>
      <c r="E75" s="414">
        <v>2020</v>
      </c>
      <c r="F75" s="414">
        <v>2021</v>
      </c>
      <c r="G75" s="414" t="s">
        <v>521</v>
      </c>
      <c r="H75" s="366"/>
      <c r="I75" s="366"/>
    </row>
    <row r="76" spans="1:9" ht="12.75" customHeight="1" x14ac:dyDescent="0.3">
      <c r="A76" s="374" t="s">
        <v>145</v>
      </c>
      <c r="B76" s="375">
        <f>'Stryker Data(19-21)'!I38</f>
        <v>303817</v>
      </c>
      <c r="C76" s="375">
        <f>'Stryker Data(19-21)'!I56</f>
        <v>219253</v>
      </c>
      <c r="D76" s="420">
        <f>'Stryker Data(19-21)'!I74</f>
        <v>267342</v>
      </c>
      <c r="E76" s="421">
        <f t="shared" ref="E76:F76" si="67">IFERROR(C76/B76-1,"")</f>
        <v>-0.27833860514717745</v>
      </c>
      <c r="F76" s="421">
        <f t="shared" si="67"/>
        <v>0.21933109239098214</v>
      </c>
      <c r="G76" s="421">
        <f t="shared" ref="G76:G90" si="68">IFERROR(((D76/B76)^(1/2)-1),"")</f>
        <v>-6.1946602307580756E-2</v>
      </c>
      <c r="H76" s="366"/>
      <c r="I76" s="366"/>
    </row>
    <row r="77" spans="1:9" ht="12.75" customHeight="1" x14ac:dyDescent="0.3">
      <c r="A77" s="374" t="s">
        <v>146</v>
      </c>
      <c r="B77" s="375">
        <f>'Stryker Data(19-21)'!I39</f>
        <v>92264</v>
      </c>
      <c r="C77" s="375">
        <f>'Stryker Data(19-21)'!I57</f>
        <v>78364</v>
      </c>
      <c r="D77" s="420">
        <f>'Stryker Data(19-21)'!I75</f>
        <v>46929</v>
      </c>
      <c r="E77" s="421">
        <f t="shared" ref="E77:F77" si="69">IFERROR(C77/B77-1,"")</f>
        <v>-0.15065464319778032</v>
      </c>
      <c r="F77" s="421">
        <f t="shared" si="69"/>
        <v>-0.40114082997294676</v>
      </c>
      <c r="G77" s="421">
        <f t="shared" si="68"/>
        <v>-0.2868112063128665</v>
      </c>
      <c r="H77" s="366"/>
      <c r="I77" s="366"/>
    </row>
    <row r="78" spans="1:9" ht="12.75" customHeight="1" x14ac:dyDescent="0.3">
      <c r="A78" s="374" t="s">
        <v>147</v>
      </c>
      <c r="B78" s="375">
        <f>'Stryker Data(19-21)'!I40</f>
        <v>65295</v>
      </c>
      <c r="C78" s="375">
        <f>'Stryker Data(19-21)'!I58</f>
        <v>133420</v>
      </c>
      <c r="D78" s="420">
        <f>'Stryker Data(19-21)'!I76</f>
        <v>176863</v>
      </c>
      <c r="E78" s="421">
        <f t="shared" ref="E78:F78" si="70">IFERROR(C78/B78-1,"")</f>
        <v>1.0433417566429282</v>
      </c>
      <c r="F78" s="421">
        <f t="shared" si="70"/>
        <v>0.32561085294558545</v>
      </c>
      <c r="G78" s="421">
        <f t="shared" si="68"/>
        <v>0.64580558052364223</v>
      </c>
      <c r="H78" s="366"/>
      <c r="I78" s="366"/>
    </row>
    <row r="79" spans="1:9" ht="12.75" customHeight="1" x14ac:dyDescent="0.3">
      <c r="A79" s="374" t="s">
        <v>148</v>
      </c>
      <c r="B79" s="375">
        <f>'Stryker Data(19-21)'!I41</f>
        <v>0</v>
      </c>
      <c r="C79" s="375">
        <f>'Stryker Data(19-21)'!I59</f>
        <v>0</v>
      </c>
      <c r="D79" s="420">
        <f>'Stryker Data(19-21)'!I77</f>
        <v>6390</v>
      </c>
      <c r="E79" s="421" t="str">
        <f t="shared" ref="E79:F79" si="71">IFERROR(C79/B79-1,"")</f>
        <v/>
      </c>
      <c r="F79" s="421" t="str">
        <f t="shared" si="71"/>
        <v/>
      </c>
      <c r="G79" s="421" t="str">
        <f t="shared" si="68"/>
        <v/>
      </c>
      <c r="H79" s="366"/>
      <c r="I79" s="366"/>
    </row>
    <row r="80" spans="1:9" ht="12.75" customHeight="1" x14ac:dyDescent="0.3">
      <c r="A80" s="374" t="s">
        <v>149</v>
      </c>
      <c r="B80" s="375">
        <f>'Stryker Data(19-21)'!I42</f>
        <v>151397</v>
      </c>
      <c r="C80" s="375">
        <f>'Stryker Data(19-21)'!I60</f>
        <v>143700</v>
      </c>
      <c r="D80" s="420">
        <f>'Stryker Data(19-21)'!I78</f>
        <v>101780</v>
      </c>
      <c r="E80" s="421">
        <f t="shared" ref="E80:F80" si="72">IFERROR(C80/B80-1,"")</f>
        <v>-5.0839844911061638E-2</v>
      </c>
      <c r="F80" s="421">
        <f t="shared" si="72"/>
        <v>-0.29171885873347247</v>
      </c>
      <c r="G80" s="421">
        <f t="shared" si="68"/>
        <v>-0.18007790742588992</v>
      </c>
      <c r="H80" s="366"/>
      <c r="I80" s="366"/>
    </row>
    <row r="81" spans="1:9" ht="12.75" customHeight="1" x14ac:dyDescent="0.3">
      <c r="A81" s="374" t="s">
        <v>198</v>
      </c>
      <c r="B81" s="375">
        <f>'Stryker Data(19-21)'!I43</f>
        <v>50451</v>
      </c>
      <c r="C81" s="375">
        <f>'Stryker Data(19-21)'!I61</f>
        <v>26405</v>
      </c>
      <c r="D81" s="420">
        <f>'Stryker Data(19-21)'!I79</f>
        <v>11945</v>
      </c>
      <c r="E81" s="421">
        <f t="shared" ref="E81:F81" si="73">IFERROR(C81/B81-1,"")</f>
        <v>-0.47662087966541788</v>
      </c>
      <c r="F81" s="421">
        <f t="shared" si="73"/>
        <v>-0.54762355614466962</v>
      </c>
      <c r="G81" s="421">
        <f t="shared" si="68"/>
        <v>-0.51341559288743199</v>
      </c>
      <c r="H81" s="366"/>
      <c r="I81" s="366"/>
    </row>
    <row r="82" spans="1:9" ht="12.75" customHeight="1" x14ac:dyDescent="0.3">
      <c r="A82" s="374" t="s">
        <v>199</v>
      </c>
      <c r="B82" s="375">
        <f>'Stryker Data(19-21)'!I44</f>
        <v>2329</v>
      </c>
      <c r="C82" s="375">
        <f>'Stryker Data(19-21)'!I62</f>
        <v>1665</v>
      </c>
      <c r="D82" s="420">
        <f>'Stryker Data(19-21)'!I80</f>
        <v>14043</v>
      </c>
      <c r="E82" s="421">
        <f t="shared" ref="E82:F82" si="74">IFERROR(C82/B82-1,"")</f>
        <v>-0.28510090167453839</v>
      </c>
      <c r="F82" s="421">
        <f t="shared" si="74"/>
        <v>7.4342342342342338</v>
      </c>
      <c r="G82" s="421">
        <f t="shared" si="68"/>
        <v>1.4555297695446079</v>
      </c>
      <c r="H82" s="366"/>
      <c r="I82" s="366"/>
    </row>
    <row r="83" spans="1:9" ht="12.75" customHeight="1" x14ac:dyDescent="0.3">
      <c r="A83" s="374" t="s">
        <v>152</v>
      </c>
      <c r="B83" s="375">
        <f>'Stryker Data(19-21)'!I45</f>
        <v>0</v>
      </c>
      <c r="C83" s="375">
        <f>'Stryker Data(19-21)'!I63</f>
        <v>0</v>
      </c>
      <c r="D83" s="420">
        <f>'Stryker Data(19-21)'!I81</f>
        <v>0</v>
      </c>
      <c r="E83" s="421" t="str">
        <f t="shared" ref="E83:F83" si="75">IFERROR(C83/B83-1,"")</f>
        <v/>
      </c>
      <c r="F83" s="421" t="str">
        <f t="shared" si="75"/>
        <v/>
      </c>
      <c r="G83" s="421" t="str">
        <f t="shared" si="68"/>
        <v/>
      </c>
      <c r="H83" s="366"/>
      <c r="I83" s="366"/>
    </row>
    <row r="84" spans="1:9" ht="12.75" customHeight="1" x14ac:dyDescent="0.3">
      <c r="A84" s="374" t="s">
        <v>153</v>
      </c>
      <c r="B84" s="375">
        <f>'Stryker Data(19-21)'!I46</f>
        <v>-1761</v>
      </c>
      <c r="C84" s="375">
        <f>'Stryker Data(19-21)'!I64</f>
        <v>-826</v>
      </c>
      <c r="D84" s="420">
        <f>'Stryker Data(19-21)'!I82</f>
        <v>29</v>
      </c>
      <c r="E84" s="421">
        <f t="shared" ref="E84:F84" si="76">IFERROR(C84/B84-1,"")</f>
        <v>-0.53094832481544585</v>
      </c>
      <c r="F84" s="421">
        <f t="shared" si="76"/>
        <v>-1.0351089588377724</v>
      </c>
      <c r="G84" s="421" t="str">
        <f t="shared" si="68"/>
        <v/>
      </c>
      <c r="H84" s="366"/>
      <c r="I84" s="366"/>
    </row>
    <row r="85" spans="1:9" ht="12.75" customHeight="1" x14ac:dyDescent="0.3">
      <c r="A85" s="374" t="s">
        <v>154</v>
      </c>
      <c r="B85" s="375">
        <f>'Stryker Data(19-21)'!I47</f>
        <v>0</v>
      </c>
      <c r="C85" s="375">
        <f>'Stryker Data(19-21)'!I65</f>
        <v>0</v>
      </c>
      <c r="D85" s="420">
        <f>'Stryker Data(19-21)'!I83</f>
        <v>0</v>
      </c>
      <c r="E85" s="421" t="str">
        <f t="shared" ref="E85:F85" si="77">IFERROR(C85/B85-1,"")</f>
        <v/>
      </c>
      <c r="F85" s="421" t="str">
        <f t="shared" si="77"/>
        <v/>
      </c>
      <c r="G85" s="421" t="str">
        <f t="shared" si="68"/>
        <v/>
      </c>
      <c r="H85" s="366"/>
      <c r="I85" s="366"/>
    </row>
    <row r="86" spans="1:9" ht="12.75" customHeight="1" x14ac:dyDescent="0.3">
      <c r="A86" s="374" t="s">
        <v>155</v>
      </c>
      <c r="B86" s="375">
        <f>'Stryker Data(19-21)'!I48</f>
        <v>0</v>
      </c>
      <c r="C86" s="375">
        <f>'Stryker Data(19-21)'!I66</f>
        <v>0</v>
      </c>
      <c r="D86" s="420">
        <f>'Stryker Data(19-21)'!I84</f>
        <v>0</v>
      </c>
      <c r="E86" s="421" t="str">
        <f t="shared" ref="E86:F86" si="78">IFERROR(C86/B86-1,"")</f>
        <v/>
      </c>
      <c r="F86" s="421" t="str">
        <f t="shared" si="78"/>
        <v/>
      </c>
      <c r="G86" s="421" t="str">
        <f t="shared" si="68"/>
        <v/>
      </c>
      <c r="H86" s="366"/>
      <c r="I86" s="366"/>
    </row>
    <row r="87" spans="1:9" ht="12.75" customHeight="1" x14ac:dyDescent="0.3">
      <c r="A87" s="374" t="s">
        <v>156</v>
      </c>
      <c r="B87" s="375">
        <f>'Stryker Data(19-21)'!I49</f>
        <v>0</v>
      </c>
      <c r="C87" s="375">
        <f>'Stryker Data(19-21)'!I67</f>
        <v>0</v>
      </c>
      <c r="D87" s="420">
        <f>'Stryker Data(19-21)'!I85</f>
        <v>0</v>
      </c>
      <c r="E87" s="421" t="str">
        <f t="shared" ref="E87:F87" si="79">IFERROR(C87/B87-1,"")</f>
        <v/>
      </c>
      <c r="F87" s="421" t="str">
        <f t="shared" si="79"/>
        <v/>
      </c>
      <c r="G87" s="421" t="str">
        <f t="shared" si="68"/>
        <v/>
      </c>
      <c r="H87" s="366"/>
      <c r="I87" s="366"/>
    </row>
    <row r="88" spans="1:9" ht="12.75" customHeight="1" x14ac:dyDescent="0.3">
      <c r="A88" s="374" t="s">
        <v>96</v>
      </c>
      <c r="B88" s="375">
        <f>'Stryker Data(19-21)'!I50</f>
        <v>0</v>
      </c>
      <c r="C88" s="375">
        <f>'Stryker Data(19-21)'!I68</f>
        <v>0</v>
      </c>
      <c r="D88" s="420">
        <f>'Stryker Data(19-21)'!I86</f>
        <v>0</v>
      </c>
      <c r="E88" s="421" t="str">
        <f t="shared" ref="E88:F88" si="80">IFERROR(C88/B88-1,"")</f>
        <v/>
      </c>
      <c r="F88" s="421" t="str">
        <f t="shared" si="80"/>
        <v/>
      </c>
      <c r="G88" s="421" t="str">
        <f t="shared" si="68"/>
        <v/>
      </c>
      <c r="H88" s="366"/>
      <c r="I88" s="366"/>
    </row>
    <row r="89" spans="1:9" ht="12.75" customHeight="1" x14ac:dyDescent="0.3">
      <c r="A89" s="374" t="s">
        <v>158</v>
      </c>
      <c r="B89" s="375">
        <f>'Stryker Data(19-21)'!I51</f>
        <v>0</v>
      </c>
      <c r="C89" s="375">
        <f>'Stryker Data(19-21)'!I69</f>
        <v>0</v>
      </c>
      <c r="D89" s="420">
        <f>'Stryker Data(19-21)'!I87</f>
        <v>0</v>
      </c>
      <c r="E89" s="421" t="str">
        <f t="shared" ref="E89:F89" si="81">IFERROR(C89/B89-1,"")</f>
        <v/>
      </c>
      <c r="F89" s="421" t="str">
        <f t="shared" si="81"/>
        <v/>
      </c>
      <c r="G89" s="421" t="str">
        <f t="shared" si="68"/>
        <v/>
      </c>
      <c r="H89" s="366"/>
      <c r="I89" s="366"/>
    </row>
    <row r="90" spans="1:9" ht="12.75" customHeight="1" x14ac:dyDescent="0.3">
      <c r="A90" s="377" t="s">
        <v>443</v>
      </c>
      <c r="B90" s="455">
        <f t="shared" ref="B90:D90" si="82">SUM(B76:B89)</f>
        <v>663792</v>
      </c>
      <c r="C90" s="455">
        <f t="shared" si="82"/>
        <v>601981</v>
      </c>
      <c r="D90" s="455">
        <f t="shared" si="82"/>
        <v>625321</v>
      </c>
      <c r="E90" s="456">
        <f t="shared" ref="E90:F90" si="83">IFERROR(C90/B90-1,"")</f>
        <v>-9.3118024923469989E-2</v>
      </c>
      <c r="F90" s="456">
        <f t="shared" si="83"/>
        <v>3.8771987820213516E-2</v>
      </c>
      <c r="G90" s="456">
        <f t="shared" si="68"/>
        <v>-2.941069861214296E-2</v>
      </c>
      <c r="H90" s="366"/>
      <c r="I90" s="366"/>
    </row>
    <row r="91" spans="1:9" ht="12.75" customHeight="1" x14ac:dyDescent="0.3">
      <c r="H91" s="366"/>
      <c r="I91" s="366"/>
    </row>
    <row r="92" spans="1:9" ht="12.75" customHeight="1" x14ac:dyDescent="0.3">
      <c r="A92" s="412" t="s">
        <v>472</v>
      </c>
      <c r="B92" s="612" t="s">
        <v>538</v>
      </c>
      <c r="C92" s="546"/>
      <c r="D92" s="534"/>
      <c r="E92" s="612" t="s">
        <v>437</v>
      </c>
      <c r="F92" s="534"/>
      <c r="G92" s="447" t="s">
        <v>438</v>
      </c>
      <c r="H92" s="366"/>
      <c r="I92" s="366"/>
    </row>
    <row r="93" spans="1:9" ht="12.75" customHeight="1" x14ac:dyDescent="0.3">
      <c r="A93" s="412" t="s">
        <v>472</v>
      </c>
      <c r="B93" s="414">
        <v>2019</v>
      </c>
      <c r="C93" s="414">
        <v>2020</v>
      </c>
      <c r="D93" s="414">
        <v>2021</v>
      </c>
      <c r="E93" s="414">
        <v>2020</v>
      </c>
      <c r="F93" s="414">
        <v>2021</v>
      </c>
      <c r="G93" s="414" t="s">
        <v>521</v>
      </c>
      <c r="H93" s="366"/>
      <c r="I93" s="366"/>
    </row>
    <row r="94" spans="1:9" ht="12.75" customHeight="1" x14ac:dyDescent="0.3">
      <c r="A94" s="374" t="s">
        <v>145</v>
      </c>
      <c r="B94" s="461">
        <f t="shared" ref="B94:D94" si="84">IFERROR(B58/B22,"")</f>
        <v>9.6184183694277898</v>
      </c>
      <c r="C94" s="461">
        <f t="shared" si="84"/>
        <v>9.3946146703806868</v>
      </c>
      <c r="D94" s="461">
        <f t="shared" si="84"/>
        <v>9.6201910437297347</v>
      </c>
      <c r="E94" s="421">
        <f t="shared" ref="E94:F94" si="85">IFERROR(C94/B94-1,"")</f>
        <v>-2.3268243327662308E-2</v>
      </c>
      <c r="F94" s="462">
        <f t="shared" si="85"/>
        <v>2.4011242745297867E-2</v>
      </c>
      <c r="G94" s="421">
        <f t="shared" ref="G94:G108" si="86">IFERROR(((D94/B94)^(1/2)-1),"")</f>
        <v>9.2145744000182717E-5</v>
      </c>
      <c r="H94" s="366"/>
      <c r="I94" s="366"/>
    </row>
    <row r="95" spans="1:9" ht="12.75" customHeight="1" x14ac:dyDescent="0.3">
      <c r="A95" s="374" t="s">
        <v>146</v>
      </c>
      <c r="B95" s="461">
        <f t="shared" ref="B95:D95" si="87">IFERROR(B59/B23,"")</f>
        <v>54.070019096117122</v>
      </c>
      <c r="C95" s="461">
        <f t="shared" si="87"/>
        <v>52.287258687258685</v>
      </c>
      <c r="D95" s="461">
        <f t="shared" si="87"/>
        <v>53.769811320754719</v>
      </c>
      <c r="E95" s="421">
        <f t="shared" ref="E95:F95" si="88">IFERROR(C95/B95-1,"")</f>
        <v>-3.2971329373665093E-2</v>
      </c>
      <c r="F95" s="462">
        <f t="shared" si="88"/>
        <v>2.8353994275421845E-2</v>
      </c>
      <c r="G95" s="421">
        <f t="shared" si="86"/>
        <v>-2.7799660970289075E-3</v>
      </c>
      <c r="H95" s="366"/>
      <c r="I95" s="366"/>
    </row>
    <row r="96" spans="1:9" ht="12.75" customHeight="1" x14ac:dyDescent="0.3">
      <c r="A96" s="374" t="s">
        <v>147</v>
      </c>
      <c r="B96" s="461">
        <f t="shared" ref="B96:D96" si="89">IFERROR(B60/B24,"")</f>
        <v>362.71244131455398</v>
      </c>
      <c r="C96" s="461">
        <f t="shared" si="89"/>
        <v>404.42613636363637</v>
      </c>
      <c r="D96" s="461">
        <f t="shared" si="89"/>
        <v>389.72667217175888</v>
      </c>
      <c r="E96" s="421">
        <f t="shared" ref="E96:F96" si="90">IFERROR(C96/B96-1,"")</f>
        <v>0.11500486417808631</v>
      </c>
      <c r="F96" s="462">
        <f t="shared" si="90"/>
        <v>-3.6346474350165581E-2</v>
      </c>
      <c r="G96" s="421">
        <f t="shared" si="86"/>
        <v>3.6570484087757427E-2</v>
      </c>
      <c r="H96" s="366"/>
      <c r="I96" s="366"/>
    </row>
    <row r="97" spans="1:9" ht="12.75" customHeight="1" x14ac:dyDescent="0.3">
      <c r="A97" s="374" t="s">
        <v>148</v>
      </c>
      <c r="B97" s="461" t="str">
        <f t="shared" ref="B97:C97" si="91">IFERROR(B61/B25,"")</f>
        <v/>
      </c>
      <c r="C97" s="461" t="str">
        <f t="shared" si="91"/>
        <v/>
      </c>
      <c r="D97" s="461"/>
      <c r="E97" s="421" t="str">
        <f t="shared" ref="E97:F97" si="92">IFERROR(C97/B97-1,"")</f>
        <v/>
      </c>
      <c r="F97" s="462" t="str">
        <f t="shared" si="92"/>
        <v/>
      </c>
      <c r="G97" s="421" t="str">
        <f t="shared" si="86"/>
        <v/>
      </c>
      <c r="H97" s="366"/>
      <c r="I97" s="366"/>
    </row>
    <row r="98" spans="1:9" ht="12.75" customHeight="1" x14ac:dyDescent="0.3">
      <c r="A98" s="374" t="s">
        <v>149</v>
      </c>
      <c r="B98" s="461">
        <f t="shared" ref="B98:D98" si="93">IFERROR(B62/B26,"")</f>
        <v>322.07004608294932</v>
      </c>
      <c r="C98" s="461">
        <f t="shared" si="93"/>
        <v>321.893175074184</v>
      </c>
      <c r="D98" s="461">
        <f t="shared" si="93"/>
        <v>289.55555555555554</v>
      </c>
      <c r="E98" s="421">
        <f t="shared" ref="E98:F98" si="94">IFERROR(C98/B98-1,"")</f>
        <v>-5.4916938385440872E-4</v>
      </c>
      <c r="F98" s="462">
        <f t="shared" si="94"/>
        <v>-0.10046071809747403</v>
      </c>
      <c r="G98" s="421">
        <f t="shared" si="86"/>
        <v>-5.1820015783221263E-2</v>
      </c>
      <c r="H98" s="366"/>
      <c r="I98" s="366"/>
    </row>
    <row r="99" spans="1:9" ht="12.75" customHeight="1" x14ac:dyDescent="0.3">
      <c r="A99" s="374" t="s">
        <v>198</v>
      </c>
      <c r="B99" s="461">
        <f t="shared" ref="B99:D99" si="95">IFERROR(B63/B27,"")</f>
        <v>22.467336683417084</v>
      </c>
      <c r="C99" s="461">
        <f t="shared" si="95"/>
        <v>20.202777777777779</v>
      </c>
      <c r="D99" s="461">
        <f t="shared" si="95"/>
        <v>20.301397205588824</v>
      </c>
      <c r="E99" s="421">
        <f t="shared" ref="E99:F99" si="96">IFERROR(C99/B99-1,"")</f>
        <v>-0.10079338452744835</v>
      </c>
      <c r="F99" s="462">
        <f t="shared" si="96"/>
        <v>4.8814786211983652E-3</v>
      </c>
      <c r="G99" s="421">
        <f t="shared" si="86"/>
        <v>-4.9423294340734891E-2</v>
      </c>
      <c r="H99" s="366"/>
      <c r="I99" s="366"/>
    </row>
    <row r="100" spans="1:9" ht="12.75" customHeight="1" x14ac:dyDescent="0.3">
      <c r="A100" s="374" t="s">
        <v>199</v>
      </c>
      <c r="B100" s="461">
        <f t="shared" ref="B100:D100" si="97">IFERROR(B64/B28,"")</f>
        <v>25.5</v>
      </c>
      <c r="C100" s="461">
        <f t="shared" si="97"/>
        <v>25.018518518518519</v>
      </c>
      <c r="D100" s="461">
        <f t="shared" si="97"/>
        <v>24.185714285714287</v>
      </c>
      <c r="E100" s="421">
        <f t="shared" ref="E100:F100" si="98">IFERROR(C100/B100-1,"")</f>
        <v>-1.8881626724764011E-2</v>
      </c>
      <c r="F100" s="462">
        <f t="shared" si="98"/>
        <v>-3.3287511895950028E-2</v>
      </c>
      <c r="G100" s="421">
        <f t="shared" si="86"/>
        <v>-2.6111205653591374E-2</v>
      </c>
      <c r="H100" s="366"/>
      <c r="I100" s="366"/>
    </row>
    <row r="101" spans="1:9" ht="12.75" customHeight="1" x14ac:dyDescent="0.3">
      <c r="A101" s="374" t="s">
        <v>152</v>
      </c>
      <c r="B101" s="461">
        <f t="shared" ref="B101:D101" si="99">IFERROR(B65/B29,"")</f>
        <v>17.264650283553877</v>
      </c>
      <c r="C101" s="461">
        <f t="shared" si="99"/>
        <v>16.12676056338028</v>
      </c>
      <c r="D101" s="461">
        <f t="shared" si="99"/>
        <v>18.578947368421051</v>
      </c>
      <c r="E101" s="421">
        <f t="shared" ref="E101:F101" si="100">IFERROR(C101/B101-1,"")</f>
        <v>-6.5908645786908249E-2</v>
      </c>
      <c r="F101" s="462">
        <f t="shared" si="100"/>
        <v>0.15205699839117437</v>
      </c>
      <c r="G101" s="421">
        <f t="shared" si="86"/>
        <v>3.7365163169595705E-2</v>
      </c>
      <c r="H101" s="366"/>
      <c r="I101" s="366"/>
    </row>
    <row r="102" spans="1:9" ht="12.75" customHeight="1" x14ac:dyDescent="0.3">
      <c r="A102" s="374" t="s">
        <v>153</v>
      </c>
      <c r="B102" s="461">
        <f t="shared" ref="B102:D102" si="101">IFERROR(B66/B30,"")</f>
        <v>20.7888537776501</v>
      </c>
      <c r="C102" s="461">
        <f t="shared" si="101"/>
        <v>18.948141745894556</v>
      </c>
      <c r="D102" s="461">
        <f t="shared" si="101"/>
        <v>13.583333333333334</v>
      </c>
      <c r="E102" s="421">
        <f t="shared" ref="E102:F102" si="102">IFERROR(C102/B102-1,"")</f>
        <v>-8.8543218950073888E-2</v>
      </c>
      <c r="F102" s="462">
        <f t="shared" si="102"/>
        <v>-0.28313111040155703</v>
      </c>
      <c r="G102" s="421">
        <f t="shared" si="86"/>
        <v>-0.19167147115282901</v>
      </c>
      <c r="H102" s="366"/>
      <c r="I102" s="366"/>
    </row>
    <row r="103" spans="1:9" ht="12.75" customHeight="1" x14ac:dyDescent="0.3">
      <c r="A103" s="374" t="s">
        <v>154</v>
      </c>
      <c r="B103" s="461" t="str">
        <f t="shared" ref="B103:D103" si="103">IFERROR(B67/B31,"")</f>
        <v/>
      </c>
      <c r="C103" s="461" t="str">
        <f t="shared" si="103"/>
        <v/>
      </c>
      <c r="D103" s="461" t="str">
        <f t="shared" si="103"/>
        <v/>
      </c>
      <c r="E103" s="421" t="str">
        <f t="shared" ref="E103:F103" si="104">IFERROR(C103/B103-1,"")</f>
        <v/>
      </c>
      <c r="F103" s="421" t="str">
        <f t="shared" si="104"/>
        <v/>
      </c>
      <c r="G103" s="421" t="str">
        <f t="shared" si="86"/>
        <v/>
      </c>
      <c r="H103" s="366"/>
      <c r="I103" s="366"/>
    </row>
    <row r="104" spans="1:9" ht="12.75" customHeight="1" x14ac:dyDescent="0.3">
      <c r="A104" s="374" t="s">
        <v>155</v>
      </c>
      <c r="B104" s="461" t="str">
        <f t="shared" ref="B104:D104" si="105">IFERROR(B68/B32,"")</f>
        <v/>
      </c>
      <c r="C104" s="461" t="str">
        <f t="shared" si="105"/>
        <v/>
      </c>
      <c r="D104" s="461" t="str">
        <f t="shared" si="105"/>
        <v/>
      </c>
      <c r="E104" s="421" t="str">
        <f t="shared" ref="E104:F104" si="106">IFERROR(C104/B104-1,"")</f>
        <v/>
      </c>
      <c r="F104" s="421" t="str">
        <f t="shared" si="106"/>
        <v/>
      </c>
      <c r="G104" s="421" t="str">
        <f t="shared" si="86"/>
        <v/>
      </c>
      <c r="H104" s="366"/>
      <c r="I104" s="366"/>
    </row>
    <row r="105" spans="1:9" ht="12.75" customHeight="1" x14ac:dyDescent="0.3">
      <c r="A105" s="374" t="s">
        <v>156</v>
      </c>
      <c r="B105" s="461" t="str">
        <f t="shared" ref="B105:D105" si="107">IFERROR(B69/B33,"")</f>
        <v/>
      </c>
      <c r="C105" s="461">
        <f t="shared" si="107"/>
        <v>17.134328358208954</v>
      </c>
      <c r="D105" s="461" t="str">
        <f t="shared" si="107"/>
        <v/>
      </c>
      <c r="E105" s="421" t="str">
        <f t="shared" ref="E105:F105" si="108">IFERROR(C105/B105-1,"")</f>
        <v/>
      </c>
      <c r="F105" s="421" t="str">
        <f t="shared" si="108"/>
        <v/>
      </c>
      <c r="G105" s="421" t="str">
        <f t="shared" si="86"/>
        <v/>
      </c>
      <c r="H105" s="366"/>
      <c r="I105" s="366"/>
    </row>
    <row r="106" spans="1:9" ht="12.75" customHeight="1" x14ac:dyDescent="0.3">
      <c r="A106" s="374" t="s">
        <v>96</v>
      </c>
      <c r="B106" s="461" t="str">
        <f t="shared" ref="B106:D106" si="109">IFERROR(B70/B34,"")</f>
        <v/>
      </c>
      <c r="C106" s="461" t="str">
        <f t="shared" si="109"/>
        <v/>
      </c>
      <c r="D106" s="461" t="str">
        <f t="shared" si="109"/>
        <v/>
      </c>
      <c r="E106" s="421" t="str">
        <f t="shared" ref="E106:F106" si="110">IFERROR(C106/B106-1,"")</f>
        <v/>
      </c>
      <c r="F106" s="421" t="str">
        <f t="shared" si="110"/>
        <v/>
      </c>
      <c r="G106" s="421" t="str">
        <f t="shared" si="86"/>
        <v/>
      </c>
      <c r="H106" s="366"/>
      <c r="I106" s="366"/>
    </row>
    <row r="107" spans="1:9" ht="12.75" customHeight="1" x14ac:dyDescent="0.3">
      <c r="A107" s="374" t="s">
        <v>158</v>
      </c>
      <c r="B107" s="461" t="str">
        <f t="shared" ref="B107:D107" si="111">IFERROR(B71/B35,"")</f>
        <v/>
      </c>
      <c r="C107" s="461" t="str">
        <f t="shared" si="111"/>
        <v/>
      </c>
      <c r="D107" s="461" t="str">
        <f t="shared" si="111"/>
        <v/>
      </c>
      <c r="E107" s="421" t="str">
        <f t="shared" ref="E107:F107" si="112">IFERROR(C107/B107-1,"")</f>
        <v/>
      </c>
      <c r="F107" s="421" t="str">
        <f t="shared" si="112"/>
        <v/>
      </c>
      <c r="G107" s="421" t="str">
        <f t="shared" si="86"/>
        <v/>
      </c>
      <c r="H107" s="366"/>
      <c r="I107" s="366"/>
    </row>
    <row r="108" spans="1:9" ht="12.75" customHeight="1" x14ac:dyDescent="0.3">
      <c r="A108" s="377" t="s">
        <v>443</v>
      </c>
      <c r="B108" s="463">
        <f t="shared" ref="B108:D108" si="113">AVERAGE(B94,B96,B95,B98,B99,B100,B101,B102)</f>
        <v>104.31147070095865</v>
      </c>
      <c r="C108" s="463">
        <f t="shared" si="113"/>
        <v>108.53717292512884</v>
      </c>
      <c r="D108" s="463">
        <f t="shared" si="113"/>
        <v>102.41520278560705</v>
      </c>
      <c r="E108" s="464"/>
      <c r="F108" s="464"/>
      <c r="G108" s="465">
        <f t="shared" si="86"/>
        <v>-9.1311394318628336E-3</v>
      </c>
      <c r="H108" s="366"/>
      <c r="I108" s="366"/>
    </row>
    <row r="109" spans="1:9" ht="12.75" customHeight="1" x14ac:dyDescent="0.3">
      <c r="H109" s="366"/>
      <c r="I109" s="366"/>
    </row>
    <row r="110" spans="1:9" ht="12.75" customHeight="1" x14ac:dyDescent="0.3">
      <c r="A110" s="412" t="s">
        <v>472</v>
      </c>
      <c r="B110" s="612" t="s">
        <v>539</v>
      </c>
      <c r="C110" s="546"/>
      <c r="D110" s="534"/>
      <c r="E110" s="612" t="s">
        <v>437</v>
      </c>
      <c r="F110" s="534"/>
      <c r="G110" s="447" t="s">
        <v>438</v>
      </c>
      <c r="H110" s="366"/>
      <c r="I110" s="366"/>
    </row>
    <row r="111" spans="1:9" ht="12.75" customHeight="1" x14ac:dyDescent="0.3">
      <c r="A111" s="412" t="s">
        <v>472</v>
      </c>
      <c r="B111" s="414">
        <v>2019</v>
      </c>
      <c r="C111" s="414">
        <v>2020</v>
      </c>
      <c r="D111" s="414">
        <v>2021</v>
      </c>
      <c r="E111" s="414">
        <v>2020</v>
      </c>
      <c r="F111" s="414">
        <v>2021</v>
      </c>
      <c r="G111" s="414" t="s">
        <v>521</v>
      </c>
      <c r="H111" s="366"/>
      <c r="I111" s="366"/>
    </row>
    <row r="112" spans="1:9" ht="12.75" customHeight="1" x14ac:dyDescent="0.3">
      <c r="A112" s="374" t="s">
        <v>145</v>
      </c>
      <c r="B112" s="466">
        <f t="shared" ref="B112:D112" si="114">IFERROR(B76/B22,"")</f>
        <v>12.39108446510869</v>
      </c>
      <c r="C112" s="466">
        <f t="shared" si="114"/>
        <v>11.975148833906822</v>
      </c>
      <c r="D112" s="466">
        <f t="shared" si="114"/>
        <v>11.714223118043993</v>
      </c>
      <c r="E112" s="421">
        <f t="shared" ref="E112:F112" si="115">IFERROR(C112/B112-1,"")</f>
        <v>-3.3567330799259443E-2</v>
      </c>
      <c r="F112" s="421">
        <f t="shared" si="115"/>
        <v>-2.1788933021361312E-2</v>
      </c>
      <c r="G112" s="421">
        <f t="shared" ref="G112:G126" si="116">IFERROR(((D112/B112)^(1/2)-1),"")</f>
        <v>-2.7695967044325087E-2</v>
      </c>
      <c r="H112" s="366"/>
      <c r="I112" s="366"/>
    </row>
    <row r="113" spans="1:9" ht="12.75" customHeight="1" x14ac:dyDescent="0.3">
      <c r="A113" s="374" t="s">
        <v>146</v>
      </c>
      <c r="B113" s="466">
        <f t="shared" ref="B113:D113" si="117">IFERROR(B77/B23,"")</f>
        <v>58.729471674092935</v>
      </c>
      <c r="C113" s="466">
        <f t="shared" si="117"/>
        <v>60.512741312741312</v>
      </c>
      <c r="D113" s="466">
        <f t="shared" si="117"/>
        <v>59.030188679245285</v>
      </c>
      <c r="E113" s="421">
        <f t="shared" ref="E113:F113" si="118">IFERROR(C113/B113-1,"")</f>
        <v>3.0364135549256543E-2</v>
      </c>
      <c r="F113" s="421">
        <f t="shared" si="118"/>
        <v>-2.449984253454851E-2</v>
      </c>
      <c r="G113" s="421">
        <f t="shared" si="116"/>
        <v>2.5569193193240025E-3</v>
      </c>
      <c r="H113" s="366"/>
      <c r="I113" s="366"/>
    </row>
    <row r="114" spans="1:9" ht="12.75" customHeight="1" x14ac:dyDescent="0.3">
      <c r="A114" s="374" t="s">
        <v>147</v>
      </c>
      <c r="B114" s="466">
        <f t="shared" ref="B114:D114" si="119">IFERROR(B78/B24,"")</f>
        <v>76.637323943661968</v>
      </c>
      <c r="C114" s="466">
        <f t="shared" si="119"/>
        <v>126.34469696969697</v>
      </c>
      <c r="D114" s="466">
        <f t="shared" si="119"/>
        <v>146.04706853839801</v>
      </c>
      <c r="E114" s="421">
        <f t="shared" ref="E114:F114" si="120">IFERROR(C114/B114-1,"")</f>
        <v>0.64860528092781711</v>
      </c>
      <c r="F114" s="421">
        <f t="shared" si="120"/>
        <v>0.15594142090052698</v>
      </c>
      <c r="G114" s="421">
        <f t="shared" si="116"/>
        <v>0.38046772180294508</v>
      </c>
      <c r="H114" s="366"/>
      <c r="I114" s="366"/>
    </row>
    <row r="115" spans="1:9" ht="12.75" customHeight="1" x14ac:dyDescent="0.3">
      <c r="A115" s="374" t="s">
        <v>148</v>
      </c>
      <c r="B115" s="466" t="str">
        <f t="shared" ref="B115:D115" si="121">IFERROR(B79/B25,"")</f>
        <v/>
      </c>
      <c r="C115" s="466" t="str">
        <f t="shared" si="121"/>
        <v/>
      </c>
      <c r="D115" s="466">
        <f t="shared" si="121"/>
        <v>1065</v>
      </c>
      <c r="E115" s="421" t="str">
        <f t="shared" ref="E115:F115" si="122">IFERROR(C115/B115-1,"")</f>
        <v/>
      </c>
      <c r="F115" s="421" t="str">
        <f t="shared" si="122"/>
        <v/>
      </c>
      <c r="G115" s="421" t="str">
        <f t="shared" si="116"/>
        <v/>
      </c>
      <c r="H115" s="366"/>
      <c r="I115" s="384" t="s">
        <v>540</v>
      </c>
    </row>
    <row r="116" spans="1:9" ht="12.75" customHeight="1" x14ac:dyDescent="0.3">
      <c r="A116" s="374" t="s">
        <v>149</v>
      </c>
      <c r="B116" s="466">
        <f t="shared" ref="B116:D116" si="123">IFERROR(B80/B26,"")</f>
        <v>139.53640552995392</v>
      </c>
      <c r="C116" s="466">
        <f t="shared" si="123"/>
        <v>142.13649851632047</v>
      </c>
      <c r="D116" s="466">
        <f t="shared" si="123"/>
        <v>182.40143369175627</v>
      </c>
      <c r="E116" s="421">
        <f t="shared" ref="E116:F116" si="124">IFERROR(C116/B116-1,"")</f>
        <v>1.8633796509889278E-2</v>
      </c>
      <c r="F116" s="421">
        <f t="shared" si="124"/>
        <v>0.28328357315494501</v>
      </c>
      <c r="G116" s="421">
        <f t="shared" si="116"/>
        <v>0.14332673288154929</v>
      </c>
      <c r="H116" s="366"/>
      <c r="I116" s="366"/>
    </row>
    <row r="117" spans="1:9" ht="12.75" customHeight="1" x14ac:dyDescent="0.3">
      <c r="A117" s="374" t="s">
        <v>198</v>
      </c>
      <c r="B117" s="466">
        <f t="shared" ref="B117:D117" si="125">IFERROR(B81/B27,"")</f>
        <v>23.047510278666056</v>
      </c>
      <c r="C117" s="466">
        <f t="shared" si="125"/>
        <v>24.449074074074073</v>
      </c>
      <c r="D117" s="466">
        <f t="shared" si="125"/>
        <v>23.842315369261478</v>
      </c>
      <c r="E117" s="421">
        <f t="shared" ref="E117:F117" si="126">IFERROR(C117/B117-1,"")</f>
        <v>6.0811939270740911E-2</v>
      </c>
      <c r="F117" s="421">
        <f t="shared" si="126"/>
        <v>-2.4817246778928381E-2</v>
      </c>
      <c r="G117" s="421">
        <f t="shared" si="116"/>
        <v>1.709660681167624E-2</v>
      </c>
      <c r="H117" s="366"/>
      <c r="I117" s="366"/>
    </row>
    <row r="118" spans="1:9" ht="12.75" customHeight="1" x14ac:dyDescent="0.3">
      <c r="A118" s="374" t="s">
        <v>199</v>
      </c>
      <c r="B118" s="466">
        <f t="shared" ref="B118:D118" si="127">IFERROR(B82/B28,"")</f>
        <v>29.858974358974358</v>
      </c>
      <c r="C118" s="466">
        <f t="shared" si="127"/>
        <v>30.833333333333332</v>
      </c>
      <c r="D118" s="466">
        <f t="shared" si="127"/>
        <v>33.435714285714283</v>
      </c>
      <c r="E118" s="421">
        <f t="shared" ref="E118:F118" si="128">IFERROR(C118/B118-1,"")</f>
        <v>3.2632030914555576E-2</v>
      </c>
      <c r="F118" s="421">
        <f t="shared" si="128"/>
        <v>8.4401544401544459E-2</v>
      </c>
      <c r="G118" s="421">
        <f t="shared" si="116"/>
        <v>5.8200250010482346E-2</v>
      </c>
      <c r="H118" s="366"/>
      <c r="I118" s="366"/>
    </row>
    <row r="119" spans="1:9" ht="12.75" customHeight="1" x14ac:dyDescent="0.3">
      <c r="A119" s="374" t="s">
        <v>152</v>
      </c>
      <c r="B119" s="466">
        <f t="shared" ref="B119:D119" si="129">IFERROR(B83/B29,"")</f>
        <v>0</v>
      </c>
      <c r="C119" s="466">
        <f t="shared" si="129"/>
        <v>0</v>
      </c>
      <c r="D119" s="466">
        <f t="shared" si="129"/>
        <v>0</v>
      </c>
      <c r="E119" s="421" t="str">
        <f t="shared" ref="E119:F119" si="130">IFERROR(C119/B119-1,"")</f>
        <v/>
      </c>
      <c r="F119" s="421" t="str">
        <f t="shared" si="130"/>
        <v/>
      </c>
      <c r="G119" s="421" t="str">
        <f t="shared" si="116"/>
        <v/>
      </c>
      <c r="H119" s="366"/>
      <c r="I119" s="366"/>
    </row>
    <row r="120" spans="1:9" ht="12.75" customHeight="1" x14ac:dyDescent="0.3">
      <c r="A120" s="374" t="s">
        <v>153</v>
      </c>
      <c r="B120" s="466">
        <f t="shared" ref="B120:D120" si="131">IFERROR(B84/B30,"")</f>
        <v>-0.50588911232404477</v>
      </c>
      <c r="C120" s="466">
        <f t="shared" si="131"/>
        <v>-0.71391529818496113</v>
      </c>
      <c r="D120" s="466">
        <f t="shared" si="131"/>
        <v>2.4166666666666665</v>
      </c>
      <c r="E120" s="421">
        <f t="shared" ref="E120:F120" si="132">IFERROR(C120/B120-1,"")</f>
        <v>0.41120905904704719</v>
      </c>
      <c r="F120" s="421">
        <f t="shared" si="132"/>
        <v>-4.3850887812752219</v>
      </c>
      <c r="G120" s="421" t="str">
        <f t="shared" si="116"/>
        <v/>
      </c>
      <c r="I120" s="384" t="s">
        <v>541</v>
      </c>
    </row>
    <row r="121" spans="1:9" ht="12.75" customHeight="1" x14ac:dyDescent="0.3">
      <c r="A121" s="374" t="s">
        <v>154</v>
      </c>
      <c r="B121" s="466" t="str">
        <f t="shared" ref="B121:D121" si="133">IFERROR(B85/B31,"")</f>
        <v/>
      </c>
      <c r="C121" s="466" t="str">
        <f t="shared" si="133"/>
        <v/>
      </c>
      <c r="D121" s="466" t="str">
        <f t="shared" si="133"/>
        <v/>
      </c>
      <c r="E121" s="421" t="str">
        <f t="shared" ref="E121:F121" si="134">IFERROR(C121/B121-1,"")</f>
        <v/>
      </c>
      <c r="F121" s="421" t="str">
        <f t="shared" si="134"/>
        <v/>
      </c>
      <c r="G121" s="421" t="str">
        <f t="shared" si="116"/>
        <v/>
      </c>
      <c r="H121" s="366"/>
      <c r="I121" s="366"/>
    </row>
    <row r="122" spans="1:9" ht="12.75" customHeight="1" x14ac:dyDescent="0.3">
      <c r="A122" s="374" t="s">
        <v>155</v>
      </c>
      <c r="B122" s="466" t="str">
        <f t="shared" ref="B122:D122" si="135">IFERROR(B86/B32,"")</f>
        <v/>
      </c>
      <c r="C122" s="466" t="str">
        <f t="shared" si="135"/>
        <v/>
      </c>
      <c r="D122" s="466" t="str">
        <f t="shared" si="135"/>
        <v/>
      </c>
      <c r="E122" s="421" t="str">
        <f t="shared" ref="E122:F122" si="136">IFERROR(C122/B122-1,"")</f>
        <v/>
      </c>
      <c r="F122" s="421" t="str">
        <f t="shared" si="136"/>
        <v/>
      </c>
      <c r="G122" s="421" t="str">
        <f t="shared" si="116"/>
        <v/>
      </c>
      <c r="H122" s="366"/>
      <c r="I122" s="366"/>
    </row>
    <row r="123" spans="1:9" ht="12.75" customHeight="1" x14ac:dyDescent="0.3">
      <c r="A123" s="374" t="s">
        <v>156</v>
      </c>
      <c r="B123" s="466" t="str">
        <f t="shared" ref="B123:D123" si="137">IFERROR(B87/B33,"")</f>
        <v/>
      </c>
      <c r="C123" s="466">
        <f t="shared" si="137"/>
        <v>0</v>
      </c>
      <c r="D123" s="466" t="str">
        <f t="shared" si="137"/>
        <v/>
      </c>
      <c r="E123" s="421" t="str">
        <f t="shared" ref="E123:F123" si="138">IFERROR(C123/B123-1,"")</f>
        <v/>
      </c>
      <c r="F123" s="421" t="str">
        <f t="shared" si="138"/>
        <v/>
      </c>
      <c r="G123" s="421" t="str">
        <f t="shared" si="116"/>
        <v/>
      </c>
      <c r="H123" s="366"/>
      <c r="I123" s="366"/>
    </row>
    <row r="124" spans="1:9" ht="12.75" customHeight="1" x14ac:dyDescent="0.3">
      <c r="A124" s="374" t="s">
        <v>96</v>
      </c>
      <c r="B124" s="466" t="str">
        <f t="shared" ref="B124:D124" si="139">IFERROR(B88/B34,"")</f>
        <v/>
      </c>
      <c r="C124" s="466" t="str">
        <f t="shared" si="139"/>
        <v/>
      </c>
      <c r="D124" s="466" t="str">
        <f t="shared" si="139"/>
        <v/>
      </c>
      <c r="E124" s="421" t="str">
        <f t="shared" ref="E124:F124" si="140">IFERROR(C124/B124-1,"")</f>
        <v/>
      </c>
      <c r="F124" s="421" t="str">
        <f t="shared" si="140"/>
        <v/>
      </c>
      <c r="G124" s="421" t="str">
        <f t="shared" si="116"/>
        <v/>
      </c>
      <c r="H124" s="366"/>
      <c r="I124" s="366"/>
    </row>
    <row r="125" spans="1:9" ht="12.75" customHeight="1" x14ac:dyDescent="0.3">
      <c r="A125" s="374" t="s">
        <v>158</v>
      </c>
      <c r="B125" s="466" t="str">
        <f t="shared" ref="B125:D125" si="141">IFERROR(B89/B35,"")</f>
        <v/>
      </c>
      <c r="C125" s="466" t="str">
        <f t="shared" si="141"/>
        <v/>
      </c>
      <c r="D125" s="466" t="str">
        <f t="shared" si="141"/>
        <v/>
      </c>
      <c r="E125" s="421" t="str">
        <f t="shared" ref="E125:F125" si="142">IFERROR(C125/B125-1,"")</f>
        <v/>
      </c>
      <c r="F125" s="421" t="str">
        <f t="shared" si="142"/>
        <v/>
      </c>
      <c r="G125" s="421" t="str">
        <f t="shared" si="116"/>
        <v/>
      </c>
      <c r="H125" s="366"/>
      <c r="I125" s="366"/>
    </row>
    <row r="126" spans="1:9" ht="12.75" customHeight="1" x14ac:dyDescent="0.3">
      <c r="A126" s="377" t="s">
        <v>443</v>
      </c>
      <c r="B126" s="463">
        <f t="shared" ref="B126:D126" si="143">IFERROR(B90/B36,"")</f>
        <v>19.350279850746269</v>
      </c>
      <c r="C126" s="463">
        <f t="shared" si="143"/>
        <v>24.687541010498688</v>
      </c>
      <c r="D126" s="463">
        <f t="shared" si="143"/>
        <v>23.719644956947235</v>
      </c>
      <c r="E126" s="456">
        <f t="shared" ref="E126:F126" si="144">IFERROR(C126/B126-1,"")</f>
        <v>0.27582346100005273</v>
      </c>
      <c r="F126" s="456">
        <f t="shared" si="144"/>
        <v>-3.9205850965061351E-2</v>
      </c>
      <c r="G126" s="456">
        <f t="shared" si="116"/>
        <v>0.10716020364279522</v>
      </c>
      <c r="H126" s="366"/>
      <c r="I126" s="366"/>
    </row>
    <row r="127" spans="1:9" ht="12.75" customHeight="1" x14ac:dyDescent="0.3">
      <c r="H127" s="366"/>
      <c r="I127" s="366"/>
    </row>
    <row r="128" spans="1:9" ht="12.75" customHeight="1" x14ac:dyDescent="0.3">
      <c r="A128" s="412" t="s">
        <v>472</v>
      </c>
      <c r="B128" s="612" t="s">
        <v>542</v>
      </c>
      <c r="C128" s="546"/>
      <c r="D128" s="534"/>
      <c r="E128" s="612" t="s">
        <v>437</v>
      </c>
      <c r="F128" s="534"/>
      <c r="G128" s="447" t="s">
        <v>438</v>
      </c>
      <c r="H128" s="366"/>
      <c r="I128" s="366"/>
    </row>
    <row r="129" spans="1:9" ht="12.75" customHeight="1" x14ac:dyDescent="0.3">
      <c r="A129" s="412" t="s">
        <v>472</v>
      </c>
      <c r="B129" s="414">
        <v>2019</v>
      </c>
      <c r="C129" s="414">
        <v>2020</v>
      </c>
      <c r="D129" s="414">
        <v>2021</v>
      </c>
      <c r="E129" s="414">
        <v>2020</v>
      </c>
      <c r="F129" s="414">
        <v>2021</v>
      </c>
      <c r="G129" s="414" t="s">
        <v>521</v>
      </c>
      <c r="H129" s="366"/>
      <c r="I129" s="366"/>
    </row>
    <row r="130" spans="1:9" ht="12.75" customHeight="1" x14ac:dyDescent="0.3">
      <c r="A130" s="374" t="s">
        <v>145</v>
      </c>
      <c r="B130" s="461">
        <f t="shared" ref="B130:D130" si="145">SUM(B112,B94)</f>
        <v>22.00950283453648</v>
      </c>
      <c r="C130" s="461">
        <f t="shared" si="145"/>
        <v>21.369763504287508</v>
      </c>
      <c r="D130" s="461">
        <f t="shared" si="145"/>
        <v>21.334414161773729</v>
      </c>
      <c r="E130" s="421">
        <f t="shared" ref="E130:F130" si="146">IFERROR(C130/B130-1,"")</f>
        <v>-2.9066505275399335E-2</v>
      </c>
      <c r="F130" s="421">
        <f t="shared" si="146"/>
        <v>-1.6541756536840868E-3</v>
      </c>
      <c r="G130" s="421">
        <f t="shared" ref="G130:G144" si="147">IFERROR(((D130/B130)^(1/2)-1),"")</f>
        <v>-1.5455739859156492E-2</v>
      </c>
      <c r="H130" s="366"/>
      <c r="I130" s="366"/>
    </row>
    <row r="131" spans="1:9" ht="12.75" customHeight="1" x14ac:dyDescent="0.3">
      <c r="A131" s="374" t="s">
        <v>146</v>
      </c>
      <c r="B131" s="461">
        <f t="shared" ref="B131:D131" si="148">SUM(B113,B95)</f>
        <v>112.79949077021006</v>
      </c>
      <c r="C131" s="461">
        <f t="shared" si="148"/>
        <v>112.8</v>
      </c>
      <c r="D131" s="461">
        <f t="shared" si="148"/>
        <v>112.80000000000001</v>
      </c>
      <c r="E131" s="421">
        <f t="shared" ref="E131:F131" si="149">IFERROR(C131/B131-1,"")</f>
        <v>4.514468872729438E-6</v>
      </c>
      <c r="F131" s="421">
        <f t="shared" si="149"/>
        <v>2.2204460492503131E-16</v>
      </c>
      <c r="G131" s="421">
        <f t="shared" si="147"/>
        <v>2.257231888957989E-6</v>
      </c>
      <c r="H131" s="366"/>
      <c r="I131" s="366"/>
    </row>
    <row r="132" spans="1:9" ht="12.75" customHeight="1" x14ac:dyDescent="0.3">
      <c r="A132" s="374" t="s">
        <v>147</v>
      </c>
      <c r="B132" s="461">
        <f t="shared" ref="B132:D132" si="150">SUM(B114,B96)</f>
        <v>439.34976525821594</v>
      </c>
      <c r="C132" s="461">
        <f t="shared" si="150"/>
        <v>530.77083333333337</v>
      </c>
      <c r="D132" s="461">
        <f t="shared" si="150"/>
        <v>535.77374071015686</v>
      </c>
      <c r="E132" s="421">
        <f t="shared" ref="E132:F132" si="151">IFERROR(C132/B132-1,"")</f>
        <v>0.20808266056859548</v>
      </c>
      <c r="F132" s="421">
        <f t="shared" si="151"/>
        <v>9.4257390621943493E-3</v>
      </c>
      <c r="G132" s="421">
        <f t="shared" si="147"/>
        <v>0.1042960348080022</v>
      </c>
      <c r="H132" s="366"/>
      <c r="I132" s="366"/>
    </row>
    <row r="133" spans="1:9" ht="12.75" customHeight="1" x14ac:dyDescent="0.3">
      <c r="A133" s="374" t="s">
        <v>148</v>
      </c>
      <c r="B133" s="461">
        <f t="shared" ref="B133:D133" si="152">SUM(B115,B97)</f>
        <v>0</v>
      </c>
      <c r="C133" s="461">
        <f t="shared" si="152"/>
        <v>0</v>
      </c>
      <c r="D133" s="461">
        <f t="shared" si="152"/>
        <v>1065</v>
      </c>
      <c r="E133" s="421" t="str">
        <f t="shared" ref="E133:F133" si="153">IFERROR(C133/B133-1,"")</f>
        <v/>
      </c>
      <c r="F133" s="421" t="str">
        <f t="shared" si="153"/>
        <v/>
      </c>
      <c r="G133" s="421" t="str">
        <f t="shared" si="147"/>
        <v/>
      </c>
      <c r="H133" s="366"/>
      <c r="I133" s="366"/>
    </row>
    <row r="134" spans="1:9" ht="12.75" customHeight="1" x14ac:dyDescent="0.3">
      <c r="A134" s="374" t="s">
        <v>149</v>
      </c>
      <c r="B134" s="461">
        <f t="shared" ref="B134:D134" si="154">SUM(B116,B98)</f>
        <v>461.60645161290324</v>
      </c>
      <c r="C134" s="461">
        <f t="shared" si="154"/>
        <v>464.02967359050444</v>
      </c>
      <c r="D134" s="461">
        <f t="shared" si="154"/>
        <v>471.95698924731181</v>
      </c>
      <c r="E134" s="421">
        <f t="shared" ref="E134:F134" si="155">IFERROR(C134/B134-1,"")</f>
        <v>5.2495409653270375E-3</v>
      </c>
      <c r="F134" s="421">
        <f t="shared" si="155"/>
        <v>1.7083639491130898E-2</v>
      </c>
      <c r="G134" s="421">
        <f t="shared" si="147"/>
        <v>1.1149277664679769E-2</v>
      </c>
      <c r="H134" s="366"/>
      <c r="I134" s="366"/>
    </row>
    <row r="135" spans="1:9" ht="12.75" customHeight="1" x14ac:dyDescent="0.3">
      <c r="A135" s="374" t="s">
        <v>198</v>
      </c>
      <c r="B135" s="461">
        <f t="shared" ref="B135:D135" si="156">SUM(B117,B99)</f>
        <v>45.514846962083141</v>
      </c>
      <c r="C135" s="461">
        <f t="shared" si="156"/>
        <v>44.651851851851852</v>
      </c>
      <c r="D135" s="461">
        <f t="shared" si="156"/>
        <v>44.143712574850298</v>
      </c>
      <c r="E135" s="421">
        <f t="shared" ref="E135:F135" si="157">IFERROR(C135/B135-1,"")</f>
        <v>-1.8960738480571449E-2</v>
      </c>
      <c r="F135" s="421">
        <f t="shared" si="157"/>
        <v>-1.1380026940147614E-2</v>
      </c>
      <c r="G135" s="421">
        <f t="shared" si="147"/>
        <v>-1.5177676789363659E-2</v>
      </c>
      <c r="H135" s="366"/>
      <c r="I135" s="366"/>
    </row>
    <row r="136" spans="1:9" ht="12.75" customHeight="1" x14ac:dyDescent="0.3">
      <c r="A136" s="374" t="s">
        <v>199</v>
      </c>
      <c r="B136" s="461">
        <f t="shared" ref="B136:D136" si="158">SUM(B118,B100)</f>
        <v>55.358974358974358</v>
      </c>
      <c r="C136" s="461">
        <f t="shared" si="158"/>
        <v>55.851851851851848</v>
      </c>
      <c r="D136" s="461">
        <f t="shared" si="158"/>
        <v>57.621428571428567</v>
      </c>
      <c r="E136" s="421">
        <f t="shared" ref="E136:F136" si="159">IFERROR(C136/B136-1,"")</f>
        <v>8.9032988523491952E-3</v>
      </c>
      <c r="F136" s="421">
        <f t="shared" si="159"/>
        <v>3.1683402804092431E-2</v>
      </c>
      <c r="G136" s="421">
        <f t="shared" si="147"/>
        <v>2.0229772384763312E-2</v>
      </c>
      <c r="H136" s="366"/>
      <c r="I136" s="366"/>
    </row>
    <row r="137" spans="1:9" ht="12.75" customHeight="1" x14ac:dyDescent="0.3">
      <c r="A137" s="374" t="s">
        <v>152</v>
      </c>
      <c r="B137" s="461">
        <f t="shared" ref="B137:D137" si="160">SUM(B119,B101)</f>
        <v>17.264650283553877</v>
      </c>
      <c r="C137" s="461">
        <f t="shared" si="160"/>
        <v>16.12676056338028</v>
      </c>
      <c r="D137" s="461">
        <f t="shared" si="160"/>
        <v>18.578947368421051</v>
      </c>
      <c r="E137" s="421">
        <f t="shared" ref="E137:F137" si="161">IFERROR(C137/B137-1,"")</f>
        <v>-6.5908645786908249E-2</v>
      </c>
      <c r="F137" s="421">
        <f t="shared" si="161"/>
        <v>0.15205699839117437</v>
      </c>
      <c r="G137" s="421">
        <f t="shared" si="147"/>
        <v>3.7365163169595705E-2</v>
      </c>
      <c r="H137" s="366"/>
      <c r="I137" s="366"/>
    </row>
    <row r="138" spans="1:9" ht="12.75" customHeight="1" x14ac:dyDescent="0.3">
      <c r="A138" s="374" t="s">
        <v>153</v>
      </c>
      <c r="B138" s="461">
        <f t="shared" ref="B138:D138" si="162">SUM(B120,B102)</f>
        <v>20.282964665326055</v>
      </c>
      <c r="C138" s="461">
        <f t="shared" si="162"/>
        <v>18.234226447709595</v>
      </c>
      <c r="D138" s="461">
        <f t="shared" si="162"/>
        <v>16</v>
      </c>
      <c r="E138" s="421">
        <f t="shared" ref="E138:F138" si="163">IFERROR(C138/B138-1,"")</f>
        <v>-0.10100782856062462</v>
      </c>
      <c r="F138" s="421">
        <f t="shared" si="163"/>
        <v>-0.12252926956439314</v>
      </c>
      <c r="G138" s="421">
        <f t="shared" si="147"/>
        <v>-0.11183373328593416</v>
      </c>
      <c r="H138" s="366"/>
      <c r="I138" s="366"/>
    </row>
    <row r="139" spans="1:9" ht="12.75" customHeight="1" x14ac:dyDescent="0.3">
      <c r="A139" s="374" t="s">
        <v>154</v>
      </c>
      <c r="B139" s="461">
        <f t="shared" ref="B139:D139" si="164">SUM(B121,B103)</f>
        <v>0</v>
      </c>
      <c r="C139" s="461">
        <f t="shared" si="164"/>
        <v>0</v>
      </c>
      <c r="D139" s="461">
        <f t="shared" si="164"/>
        <v>0</v>
      </c>
      <c r="E139" s="421" t="str">
        <f t="shared" ref="E139:F139" si="165">IFERROR(C139/B139-1,"")</f>
        <v/>
      </c>
      <c r="F139" s="421" t="str">
        <f t="shared" si="165"/>
        <v/>
      </c>
      <c r="G139" s="421" t="str">
        <f t="shared" si="147"/>
        <v/>
      </c>
      <c r="H139" s="366"/>
      <c r="I139" s="366"/>
    </row>
    <row r="140" spans="1:9" ht="12.75" customHeight="1" x14ac:dyDescent="0.3">
      <c r="A140" s="374" t="s">
        <v>155</v>
      </c>
      <c r="B140" s="461">
        <f t="shared" ref="B140:D140" si="166">SUM(B122,B104)</f>
        <v>0</v>
      </c>
      <c r="C140" s="461">
        <f t="shared" si="166"/>
        <v>0</v>
      </c>
      <c r="D140" s="461">
        <f t="shared" si="166"/>
        <v>0</v>
      </c>
      <c r="E140" s="421" t="str">
        <f t="shared" ref="E140:F140" si="167">IFERROR(C140/B140-1,"")</f>
        <v/>
      </c>
      <c r="F140" s="421" t="str">
        <f t="shared" si="167"/>
        <v/>
      </c>
      <c r="G140" s="421" t="str">
        <f t="shared" si="147"/>
        <v/>
      </c>
      <c r="H140" s="366"/>
      <c r="I140" s="366"/>
    </row>
    <row r="141" spans="1:9" ht="12.75" customHeight="1" x14ac:dyDescent="0.3">
      <c r="A141" s="374" t="s">
        <v>156</v>
      </c>
      <c r="B141" s="461">
        <f t="shared" ref="B141:D141" si="168">SUM(B123,B105)</f>
        <v>0</v>
      </c>
      <c r="C141" s="461">
        <f t="shared" si="168"/>
        <v>17.134328358208954</v>
      </c>
      <c r="D141" s="461">
        <f t="shared" si="168"/>
        <v>0</v>
      </c>
      <c r="E141" s="421" t="str">
        <f t="shared" ref="E141:F141" si="169">IFERROR(C141/B141-1,"")</f>
        <v/>
      </c>
      <c r="F141" s="421">
        <f t="shared" si="169"/>
        <v>-1</v>
      </c>
      <c r="G141" s="421" t="str">
        <f t="shared" si="147"/>
        <v/>
      </c>
      <c r="H141" s="366"/>
      <c r="I141" s="366"/>
    </row>
    <row r="142" spans="1:9" ht="12.75" customHeight="1" x14ac:dyDescent="0.3">
      <c r="A142" s="374" t="s">
        <v>96</v>
      </c>
      <c r="B142" s="461">
        <f t="shared" ref="B142:D142" si="170">SUM(B124,B106)</f>
        <v>0</v>
      </c>
      <c r="C142" s="461">
        <f t="shared" si="170"/>
        <v>0</v>
      </c>
      <c r="D142" s="461">
        <f t="shared" si="170"/>
        <v>0</v>
      </c>
      <c r="E142" s="421" t="str">
        <f t="shared" ref="E142:F142" si="171">IFERROR(C142/B142-1,"")</f>
        <v/>
      </c>
      <c r="F142" s="421" t="str">
        <f t="shared" si="171"/>
        <v/>
      </c>
      <c r="G142" s="421" t="str">
        <f t="shared" si="147"/>
        <v/>
      </c>
      <c r="H142" s="366"/>
      <c r="I142" s="366"/>
    </row>
    <row r="143" spans="1:9" ht="12.75" customHeight="1" x14ac:dyDescent="0.3">
      <c r="A143" s="374" t="s">
        <v>158</v>
      </c>
      <c r="B143" s="461">
        <f t="shared" ref="B143:D143" si="172">SUM(B125,B107)</f>
        <v>0</v>
      </c>
      <c r="C143" s="461">
        <f t="shared" si="172"/>
        <v>0</v>
      </c>
      <c r="D143" s="461">
        <f t="shared" si="172"/>
        <v>0</v>
      </c>
      <c r="E143" s="421" t="str">
        <f t="shared" ref="E143:F143" si="173">IFERROR(C143/B143-1,"")</f>
        <v/>
      </c>
      <c r="F143" s="421" t="str">
        <f t="shared" si="173"/>
        <v/>
      </c>
      <c r="G143" s="421" t="str">
        <f t="shared" si="147"/>
        <v/>
      </c>
      <c r="H143" s="366"/>
      <c r="I143" s="366"/>
    </row>
    <row r="144" spans="1:9" ht="12.75" customHeight="1" x14ac:dyDescent="0.3">
      <c r="A144" s="377"/>
      <c r="B144" s="463">
        <f t="shared" ref="B144:D144" si="174">AVERAGE(B130,B132,B131,B134,B135,B136,B137,B138)</f>
        <v>146.77333084322541</v>
      </c>
      <c r="C144" s="463">
        <f t="shared" si="174"/>
        <v>157.97937014286484</v>
      </c>
      <c r="D144" s="463">
        <f t="shared" si="174"/>
        <v>159.77615407924279</v>
      </c>
      <c r="E144" s="464"/>
      <c r="F144" s="464"/>
      <c r="G144" s="465">
        <f t="shared" si="147"/>
        <v>4.3355732492310617E-2</v>
      </c>
      <c r="H144" s="366"/>
      <c r="I144" s="366"/>
    </row>
    <row r="145" spans="1:10" ht="12.75" customHeight="1" x14ac:dyDescent="0.3">
      <c r="A145" s="374"/>
      <c r="B145" s="467"/>
      <c r="C145" s="467"/>
      <c r="D145" s="467"/>
      <c r="E145" s="468"/>
      <c r="F145" s="468"/>
      <c r="G145" s="468"/>
      <c r="H145" s="366"/>
      <c r="I145" s="366"/>
    </row>
    <row r="146" spans="1:10" ht="12.75" customHeight="1" x14ac:dyDescent="0.3">
      <c r="A146" s="412" t="s">
        <v>472</v>
      </c>
      <c r="B146" s="612" t="s">
        <v>543</v>
      </c>
      <c r="C146" s="546"/>
      <c r="D146" s="534"/>
      <c r="E146" s="612" t="s">
        <v>437</v>
      </c>
      <c r="F146" s="534"/>
      <c r="G146" s="447" t="s">
        <v>438</v>
      </c>
      <c r="H146" s="366"/>
      <c r="I146" s="366"/>
    </row>
    <row r="147" spans="1:10" ht="12.75" customHeight="1" x14ac:dyDescent="0.3">
      <c r="A147" s="412" t="s">
        <v>472</v>
      </c>
      <c r="B147" s="414">
        <v>2019</v>
      </c>
      <c r="C147" s="414">
        <v>2020</v>
      </c>
      <c r="D147" s="414">
        <v>2021</v>
      </c>
      <c r="E147" s="414">
        <v>2020</v>
      </c>
      <c r="F147" s="414">
        <v>2021</v>
      </c>
      <c r="G147" s="414" t="s">
        <v>521</v>
      </c>
      <c r="H147" s="366"/>
      <c r="I147" s="366"/>
    </row>
    <row r="148" spans="1:10" ht="12.75" customHeight="1" x14ac:dyDescent="0.3">
      <c r="A148" s="374" t="s">
        <v>145</v>
      </c>
      <c r="B148" s="461">
        <f>'Total S&amp;Vdevices'!D50</f>
        <v>30.32423743174547</v>
      </c>
      <c r="C148" s="461">
        <f>'Total S&amp;Vdevices'!E50</f>
        <v>41.173511447293897</v>
      </c>
      <c r="D148" s="461">
        <f>'Total S&amp;Vdevices'!F50</f>
        <v>16.424976037775735</v>
      </c>
      <c r="E148" s="421">
        <f t="shared" ref="E148:F148" si="175">IFERROR(C148/B148-1,"")</f>
        <v>0.3577756584965488</v>
      </c>
      <c r="F148" s="421">
        <f t="shared" si="175"/>
        <v>-0.60107905640252945</v>
      </c>
      <c r="G148" s="421">
        <f t="shared" ref="G148:G162" si="176">IFERROR(((D148/B148)^(1/2)-1),"")</f>
        <v>-0.26403454776659518</v>
      </c>
      <c r="H148" s="366"/>
      <c r="I148" s="366"/>
      <c r="J148" s="406" t="s">
        <v>511</v>
      </c>
    </row>
    <row r="149" spans="1:10" ht="12.75" customHeight="1" x14ac:dyDescent="0.3">
      <c r="A149" s="374" t="s">
        <v>146</v>
      </c>
      <c r="B149" s="461"/>
      <c r="C149" s="461"/>
      <c r="D149" s="461"/>
      <c r="E149" s="421" t="str">
        <f t="shared" ref="E149:F149" si="177">IFERROR(C149/B149-1,"")</f>
        <v/>
      </c>
      <c r="F149" s="421" t="str">
        <f t="shared" si="177"/>
        <v/>
      </c>
      <c r="G149" s="421" t="str">
        <f t="shared" si="176"/>
        <v/>
      </c>
      <c r="H149" s="366"/>
      <c r="I149" s="366"/>
    </row>
    <row r="150" spans="1:10" ht="12.75" customHeight="1" x14ac:dyDescent="0.3">
      <c r="A150" s="374" t="s">
        <v>147</v>
      </c>
      <c r="B150" s="461"/>
      <c r="C150" s="461"/>
      <c r="D150" s="461"/>
      <c r="E150" s="421" t="str">
        <f t="shared" ref="E150:F150" si="178">IFERROR(C150/B150-1,"")</f>
        <v/>
      </c>
      <c r="F150" s="421" t="str">
        <f t="shared" si="178"/>
        <v/>
      </c>
      <c r="G150" s="421" t="str">
        <f t="shared" si="176"/>
        <v/>
      </c>
      <c r="H150" s="366"/>
      <c r="I150" s="366"/>
      <c r="J150" s="453"/>
    </row>
    <row r="151" spans="1:10" ht="12.75" customHeight="1" x14ac:dyDescent="0.3">
      <c r="A151" s="374" t="s">
        <v>148</v>
      </c>
      <c r="B151" s="461"/>
      <c r="C151" s="461"/>
      <c r="D151" s="461"/>
      <c r="E151" s="421" t="str">
        <f t="shared" ref="E151:F151" si="179">IFERROR(C151/B151-1,"")</f>
        <v/>
      </c>
      <c r="F151" s="421" t="str">
        <f t="shared" si="179"/>
        <v/>
      </c>
      <c r="G151" s="421" t="str">
        <f t="shared" si="176"/>
        <v/>
      </c>
      <c r="H151" s="366"/>
      <c r="I151" s="366"/>
      <c r="J151" s="453"/>
    </row>
    <row r="152" spans="1:10" ht="12.75" customHeight="1" x14ac:dyDescent="0.3">
      <c r="A152" s="374" t="s">
        <v>149</v>
      </c>
      <c r="B152" s="461"/>
      <c r="C152" s="461"/>
      <c r="D152" s="461"/>
      <c r="E152" s="421" t="str">
        <f t="shared" ref="E152:F152" si="180">IFERROR(C152/B152-1,"")</f>
        <v/>
      </c>
      <c r="F152" s="421" t="str">
        <f t="shared" si="180"/>
        <v/>
      </c>
      <c r="G152" s="421" t="str">
        <f t="shared" si="176"/>
        <v/>
      </c>
      <c r="H152" s="366"/>
      <c r="I152" s="366"/>
      <c r="J152" s="453"/>
    </row>
    <row r="153" spans="1:10" ht="12.75" customHeight="1" x14ac:dyDescent="0.3">
      <c r="A153" s="374" t="s">
        <v>198</v>
      </c>
      <c r="B153" s="461">
        <f>'Total S&amp;Vdevices'!D39</f>
        <v>174.93244361791415</v>
      </c>
      <c r="C153" s="461">
        <f>'Total S&amp;Vdevices'!E39</f>
        <v>134.19428370145934</v>
      </c>
      <c r="D153" s="461">
        <f>'Total S&amp;Vdevices'!F39</f>
        <v>177.70793061682727</v>
      </c>
      <c r="E153" s="421">
        <f t="shared" ref="E153:F153" si="181">IFERROR(C153/B153-1,"")</f>
        <v>-0.23287938517245388</v>
      </c>
      <c r="F153" s="421">
        <f t="shared" si="181"/>
        <v>0.32425857283289572</v>
      </c>
      <c r="G153" s="421">
        <f t="shared" si="176"/>
        <v>7.9018060219058217E-3</v>
      </c>
      <c r="H153" s="366"/>
      <c r="I153" s="366"/>
      <c r="J153" s="406" t="s">
        <v>500</v>
      </c>
    </row>
    <row r="154" spans="1:10" ht="12.75" customHeight="1" x14ac:dyDescent="0.3">
      <c r="A154" s="374" t="s">
        <v>199</v>
      </c>
      <c r="B154" s="461">
        <f>'Total S&amp;Vdevices'!D46</f>
        <v>108.58278115313085</v>
      </c>
      <c r="C154" s="461">
        <f>'Total S&amp;Vdevices'!E46</f>
        <v>90.705556096528397</v>
      </c>
      <c r="D154" s="461">
        <f>'Total S&amp;Vdevices'!F46</f>
        <v>81.032807619460002</v>
      </c>
      <c r="E154" s="421">
        <f t="shared" ref="E154:F154" si="182">IFERROR(C154/B154-1,"")</f>
        <v>-0.16464143639303885</v>
      </c>
      <c r="F154" s="421">
        <f t="shared" si="182"/>
        <v>-0.10663898545282835</v>
      </c>
      <c r="G154" s="421">
        <f t="shared" si="176"/>
        <v>-0.13612687627488795</v>
      </c>
      <c r="H154" s="366"/>
      <c r="I154" s="366"/>
      <c r="J154" s="406" t="s">
        <v>523</v>
      </c>
    </row>
    <row r="155" spans="1:10" ht="12.75" customHeight="1" x14ac:dyDescent="0.3">
      <c r="A155" s="374" t="s">
        <v>152</v>
      </c>
      <c r="B155" s="461">
        <f>'Total S&amp;Vdevices'!D52</f>
        <v>6.6455682553789472</v>
      </c>
      <c r="C155" s="461">
        <f>'Total S&amp;Vdevices'!E52</f>
        <v>5.3995490225519767</v>
      </c>
      <c r="D155" s="461">
        <f>'Total S&amp;Vdevices'!F52</f>
        <v>7.3786462642213086</v>
      </c>
      <c r="E155" s="421">
        <f t="shared" ref="E155:F155" si="183">IFERROR(C155/B155-1,"")</f>
        <v>-0.18749626592405222</v>
      </c>
      <c r="F155" s="421">
        <f t="shared" si="183"/>
        <v>0.3665300997182086</v>
      </c>
      <c r="G155" s="421">
        <f t="shared" si="176"/>
        <v>5.3712868265459512E-2</v>
      </c>
      <c r="H155" s="366"/>
      <c r="I155" s="366"/>
      <c r="J155" s="406" t="s">
        <v>524</v>
      </c>
    </row>
    <row r="156" spans="1:10" ht="12.75" customHeight="1" x14ac:dyDescent="0.3">
      <c r="A156" s="374" t="s">
        <v>153</v>
      </c>
      <c r="B156" s="461">
        <f>'Total S&amp;Vdevices'!D53</f>
        <v>30.863857890536643</v>
      </c>
      <c r="C156" s="461">
        <f>'Total S&amp;Vdevices'!E53</f>
        <v>39.149854923727148</v>
      </c>
      <c r="D156" s="461">
        <f>'Total S&amp;Vdevices'!F53</f>
        <v>33.331926097848495</v>
      </c>
      <c r="E156" s="421">
        <f t="shared" ref="E156:F156" si="184">IFERROR(C156/B156-1,"")</f>
        <v>0.26846925820414458</v>
      </c>
      <c r="F156" s="421">
        <f t="shared" si="184"/>
        <v>-0.14860665096239323</v>
      </c>
      <c r="G156" s="421">
        <f t="shared" si="176"/>
        <v>3.9214265632297352E-2</v>
      </c>
      <c r="H156" s="366"/>
      <c r="I156" s="366"/>
      <c r="J156" s="406" t="s">
        <v>514</v>
      </c>
    </row>
    <row r="157" spans="1:10" ht="12.75" customHeight="1" x14ac:dyDescent="0.3">
      <c r="A157" s="374" t="s">
        <v>154</v>
      </c>
      <c r="B157" s="461"/>
      <c r="C157" s="461"/>
      <c r="D157" s="461"/>
      <c r="E157" s="421" t="str">
        <f t="shared" ref="E157:F157" si="185">IFERROR(C157/B157-1,"")</f>
        <v/>
      </c>
      <c r="F157" s="421" t="str">
        <f t="shared" si="185"/>
        <v/>
      </c>
      <c r="G157" s="421" t="str">
        <f t="shared" si="176"/>
        <v/>
      </c>
      <c r="H157" s="366"/>
      <c r="I157" s="366"/>
      <c r="J157" s="453"/>
    </row>
    <row r="158" spans="1:10" ht="12.75" customHeight="1" x14ac:dyDescent="0.3">
      <c r="A158" s="374" t="s">
        <v>155</v>
      </c>
      <c r="B158" s="461">
        <f>'Total S&amp;Vdevices'!D43</f>
        <v>163.212846962589</v>
      </c>
      <c r="C158" s="461">
        <f>'Total S&amp;Vdevices'!E43</f>
        <v>174.77959045636368</v>
      </c>
      <c r="D158" s="461">
        <f>'Total S&amp;Vdevices'!F43</f>
        <v>191.52638344346872</v>
      </c>
      <c r="E158" s="421">
        <f t="shared" ref="E158:F158" si="186">IFERROR(C158/B158-1,"")</f>
        <v>7.086907500869688E-2</v>
      </c>
      <c r="F158" s="421">
        <f t="shared" si="186"/>
        <v>9.5816639364915579E-2</v>
      </c>
      <c r="G158" s="421">
        <f t="shared" si="176"/>
        <v>8.3271042249281946E-2</v>
      </c>
      <c r="H158" s="366"/>
      <c r="I158" s="366"/>
      <c r="J158" s="454" t="s">
        <v>525</v>
      </c>
    </row>
    <row r="159" spans="1:10" ht="12.75" customHeight="1" x14ac:dyDescent="0.3">
      <c r="A159" s="374" t="s">
        <v>156</v>
      </c>
      <c r="B159" s="461"/>
      <c r="C159" s="461"/>
      <c r="D159" s="461"/>
      <c r="E159" s="421" t="str">
        <f t="shared" ref="E159:F159" si="187">IFERROR(C159/B159-1,"")</f>
        <v/>
      </c>
      <c r="F159" s="421" t="str">
        <f t="shared" si="187"/>
        <v/>
      </c>
      <c r="G159" s="421" t="str">
        <f t="shared" si="176"/>
        <v/>
      </c>
      <c r="H159" s="366"/>
      <c r="I159" s="366"/>
      <c r="J159" s="453"/>
    </row>
    <row r="160" spans="1:10" ht="12.75" customHeight="1" x14ac:dyDescent="0.3">
      <c r="A160" s="374" t="s">
        <v>96</v>
      </c>
      <c r="B160" s="461"/>
      <c r="C160" s="461"/>
      <c r="D160" s="461"/>
      <c r="E160" s="421" t="str">
        <f t="shared" ref="E160:F160" si="188">IFERROR(C160/B160-1,"")</f>
        <v/>
      </c>
      <c r="F160" s="421" t="str">
        <f t="shared" si="188"/>
        <v/>
      </c>
      <c r="G160" s="421" t="str">
        <f t="shared" si="176"/>
        <v/>
      </c>
      <c r="H160" s="366"/>
      <c r="I160" s="366"/>
      <c r="J160" s="406" t="s">
        <v>509</v>
      </c>
    </row>
    <row r="161" spans="1:10" ht="12.75" customHeight="1" x14ac:dyDescent="0.3">
      <c r="A161" s="374" t="s">
        <v>158</v>
      </c>
      <c r="B161" s="461"/>
      <c r="C161" s="461"/>
      <c r="D161" s="461"/>
      <c r="E161" s="421" t="str">
        <f t="shared" ref="E161:F161" si="189">IFERROR(C161/B161-1,"")</f>
        <v/>
      </c>
      <c r="F161" s="421" t="str">
        <f t="shared" si="189"/>
        <v/>
      </c>
      <c r="G161" s="421" t="str">
        <f t="shared" si="176"/>
        <v/>
      </c>
      <c r="H161" s="366"/>
      <c r="I161" s="366"/>
      <c r="J161" s="453"/>
    </row>
    <row r="162" spans="1:10" ht="12.75" customHeight="1" x14ac:dyDescent="0.3">
      <c r="A162" s="377"/>
      <c r="B162" s="463"/>
      <c r="C162" s="463"/>
      <c r="D162" s="463"/>
      <c r="E162" s="456" t="str">
        <f t="shared" ref="E162:F162" si="190">IFERROR(C162/B162-1,"")</f>
        <v/>
      </c>
      <c r="F162" s="456" t="str">
        <f t="shared" si="190"/>
        <v/>
      </c>
      <c r="G162" s="456" t="str">
        <f t="shared" si="176"/>
        <v/>
      </c>
      <c r="H162" s="366"/>
      <c r="I162" s="366"/>
    </row>
    <row r="163" spans="1:10" ht="12.75" customHeight="1" x14ac:dyDescent="0.3">
      <c r="A163" s="374"/>
      <c r="B163" s="467"/>
      <c r="C163" s="467"/>
      <c r="D163" s="467"/>
      <c r="E163" s="468"/>
      <c r="F163" s="468"/>
      <c r="G163" s="468"/>
      <c r="H163" s="366"/>
      <c r="I163" s="366"/>
    </row>
    <row r="164" spans="1:10" ht="12.75" customHeight="1" x14ac:dyDescent="0.3">
      <c r="H164" s="366"/>
      <c r="I164" s="366"/>
    </row>
    <row r="165" spans="1:10" ht="12.75" customHeight="1" x14ac:dyDescent="0.3">
      <c r="A165" s="469" t="s">
        <v>544</v>
      </c>
      <c r="B165" s="612"/>
      <c r="C165" s="546"/>
      <c r="D165" s="534"/>
      <c r="E165" s="612" t="s">
        <v>437</v>
      </c>
      <c r="F165" s="534"/>
      <c r="G165" s="447" t="s">
        <v>438</v>
      </c>
      <c r="H165" s="366"/>
      <c r="I165" s="366"/>
    </row>
    <row r="166" spans="1:10" ht="12.75" customHeight="1" x14ac:dyDescent="0.3">
      <c r="A166" s="412" t="s">
        <v>472</v>
      </c>
      <c r="B166" s="414">
        <v>2019</v>
      </c>
      <c r="C166" s="414">
        <v>2020</v>
      </c>
      <c r="D166" s="414">
        <v>2021</v>
      </c>
      <c r="E166" s="414">
        <v>2020</v>
      </c>
      <c r="F166" s="414">
        <v>2021</v>
      </c>
      <c r="G166" s="414" t="s">
        <v>521</v>
      </c>
      <c r="H166" s="366"/>
      <c r="I166" s="366"/>
    </row>
    <row r="167" spans="1:10" ht="12.75" customHeight="1" x14ac:dyDescent="0.3">
      <c r="A167" s="374" t="s">
        <v>145</v>
      </c>
      <c r="B167" s="461">
        <f t="shared" ref="B167:D167" si="191">B148-B94</f>
        <v>20.70581906231768</v>
      </c>
      <c r="C167" s="461">
        <f t="shared" si="191"/>
        <v>31.778896776913211</v>
      </c>
      <c r="D167" s="461">
        <f t="shared" si="191"/>
        <v>6.8047849940460008</v>
      </c>
      <c r="E167" s="421">
        <f t="shared" ref="E167:F167" si="192">IFERROR(C167/B167-1,"")</f>
        <v>0.53478095608143894</v>
      </c>
      <c r="F167" s="421">
        <f t="shared" si="192"/>
        <v>-0.78587094946009728</v>
      </c>
      <c r="G167" s="421">
        <f t="shared" ref="G167:G181" si="193">IFERROR(((D167/B167)^(1/2)-1),"")</f>
        <v>-0.42672764857142931</v>
      </c>
      <c r="H167" s="366"/>
      <c r="I167" s="366"/>
    </row>
    <row r="168" spans="1:10" ht="12.75" customHeight="1" x14ac:dyDescent="0.3">
      <c r="A168" s="374" t="s">
        <v>146</v>
      </c>
      <c r="B168" s="461"/>
      <c r="C168" s="461"/>
      <c r="D168" s="461"/>
      <c r="E168" s="421" t="str">
        <f t="shared" ref="E168:F168" si="194">IFERROR(C168/B168-1,"")</f>
        <v/>
      </c>
      <c r="F168" s="421" t="str">
        <f t="shared" si="194"/>
        <v/>
      </c>
      <c r="G168" s="421" t="str">
        <f t="shared" si="193"/>
        <v/>
      </c>
      <c r="H168" s="366"/>
      <c r="I168" s="366"/>
    </row>
    <row r="169" spans="1:10" ht="12.75" customHeight="1" x14ac:dyDescent="0.3">
      <c r="A169" s="374" t="s">
        <v>147</v>
      </c>
      <c r="B169" s="461"/>
      <c r="C169" s="461"/>
      <c r="D169" s="461"/>
      <c r="E169" s="421" t="str">
        <f t="shared" ref="E169:F169" si="195">IFERROR(C169/B169-1,"")</f>
        <v/>
      </c>
      <c r="F169" s="421" t="str">
        <f t="shared" si="195"/>
        <v/>
      </c>
      <c r="G169" s="421" t="str">
        <f t="shared" si="193"/>
        <v/>
      </c>
      <c r="H169" s="366"/>
      <c r="I169" s="366"/>
    </row>
    <row r="170" spans="1:10" ht="12.75" customHeight="1" x14ac:dyDescent="0.3">
      <c r="A170" s="374" t="s">
        <v>148</v>
      </c>
      <c r="B170" s="461"/>
      <c r="C170" s="461"/>
      <c r="D170" s="461"/>
      <c r="E170" s="421" t="str">
        <f t="shared" ref="E170:F170" si="196">IFERROR(C170/B170-1,"")</f>
        <v/>
      </c>
      <c r="F170" s="421" t="str">
        <f t="shared" si="196"/>
        <v/>
      </c>
      <c r="G170" s="421" t="str">
        <f t="shared" si="193"/>
        <v/>
      </c>
      <c r="H170" s="366"/>
      <c r="I170" s="366"/>
    </row>
    <row r="171" spans="1:10" ht="12.75" customHeight="1" x14ac:dyDescent="0.3">
      <c r="A171" s="374" t="s">
        <v>149</v>
      </c>
      <c r="B171" s="461"/>
      <c r="C171" s="461"/>
      <c r="D171" s="461"/>
      <c r="E171" s="421" t="str">
        <f t="shared" ref="E171:F171" si="197">IFERROR(C171/B171-1,"")</f>
        <v/>
      </c>
      <c r="F171" s="421" t="str">
        <f t="shared" si="197"/>
        <v/>
      </c>
      <c r="G171" s="421" t="str">
        <f t="shared" si="193"/>
        <v/>
      </c>
      <c r="H171" s="366"/>
      <c r="I171" s="366"/>
    </row>
    <row r="172" spans="1:10" ht="12.75" customHeight="1" x14ac:dyDescent="0.3">
      <c r="A172" s="374" t="s">
        <v>198</v>
      </c>
      <c r="B172" s="461"/>
      <c r="C172" s="461"/>
      <c r="D172" s="461"/>
      <c r="E172" s="421" t="str">
        <f t="shared" ref="E172:F172" si="198">IFERROR(C172/B172-1,"")</f>
        <v/>
      </c>
      <c r="F172" s="421" t="str">
        <f t="shared" si="198"/>
        <v/>
      </c>
      <c r="G172" s="421" t="str">
        <f t="shared" si="193"/>
        <v/>
      </c>
      <c r="H172" s="366"/>
      <c r="I172" s="366"/>
    </row>
    <row r="173" spans="1:10" ht="12.75" customHeight="1" x14ac:dyDescent="0.3">
      <c r="A173" s="374" t="s">
        <v>199</v>
      </c>
      <c r="B173" s="461"/>
      <c r="C173" s="461"/>
      <c r="D173" s="461"/>
      <c r="E173" s="421" t="str">
        <f t="shared" ref="E173:F173" si="199">IFERROR(C173/B173-1,"")</f>
        <v/>
      </c>
      <c r="F173" s="421" t="str">
        <f t="shared" si="199"/>
        <v/>
      </c>
      <c r="G173" s="421" t="str">
        <f t="shared" si="193"/>
        <v/>
      </c>
      <c r="H173" s="366"/>
      <c r="I173" s="366"/>
    </row>
    <row r="174" spans="1:10" ht="12.75" customHeight="1" x14ac:dyDescent="0.3">
      <c r="A174" s="374" t="s">
        <v>152</v>
      </c>
      <c r="B174" s="461"/>
      <c r="C174" s="461"/>
      <c r="D174" s="461"/>
      <c r="E174" s="421" t="str">
        <f t="shared" ref="E174:F174" si="200">IFERROR(C174/B174-1,"")</f>
        <v/>
      </c>
      <c r="F174" s="421" t="str">
        <f t="shared" si="200"/>
        <v/>
      </c>
      <c r="G174" s="421" t="str">
        <f t="shared" si="193"/>
        <v/>
      </c>
      <c r="H174" s="366"/>
      <c r="I174" s="366"/>
    </row>
    <row r="175" spans="1:10" ht="12.75" customHeight="1" x14ac:dyDescent="0.3">
      <c r="A175" s="374" t="s">
        <v>153</v>
      </c>
      <c r="B175" s="461"/>
      <c r="C175" s="461"/>
      <c r="D175" s="461"/>
      <c r="E175" s="421" t="str">
        <f t="shared" ref="E175:F175" si="201">IFERROR(C175/B175-1,"")</f>
        <v/>
      </c>
      <c r="F175" s="421" t="str">
        <f t="shared" si="201"/>
        <v/>
      </c>
      <c r="G175" s="421" t="str">
        <f t="shared" si="193"/>
        <v/>
      </c>
      <c r="H175" s="366"/>
      <c r="I175" s="366"/>
    </row>
    <row r="176" spans="1:10" ht="12.75" customHeight="1" x14ac:dyDescent="0.3">
      <c r="A176" s="374" t="s">
        <v>154</v>
      </c>
      <c r="B176" s="461"/>
      <c r="C176" s="461"/>
      <c r="D176" s="461"/>
      <c r="E176" s="421" t="str">
        <f t="shared" ref="E176:F176" si="202">IFERROR(C176/B176-1,"")</f>
        <v/>
      </c>
      <c r="F176" s="421" t="str">
        <f t="shared" si="202"/>
        <v/>
      </c>
      <c r="G176" s="421" t="str">
        <f t="shared" si="193"/>
        <v/>
      </c>
      <c r="H176" s="366"/>
      <c r="I176" s="366"/>
    </row>
    <row r="177" spans="1:9" ht="12.75" customHeight="1" x14ac:dyDescent="0.3">
      <c r="A177" s="374" t="s">
        <v>155</v>
      </c>
      <c r="B177" s="461"/>
      <c r="C177" s="461"/>
      <c r="D177" s="461"/>
      <c r="E177" s="421" t="str">
        <f t="shared" ref="E177:F177" si="203">IFERROR(C177/B177-1,"")</f>
        <v/>
      </c>
      <c r="F177" s="421" t="str">
        <f t="shared" si="203"/>
        <v/>
      </c>
      <c r="G177" s="421" t="str">
        <f t="shared" si="193"/>
        <v/>
      </c>
      <c r="H177" s="366"/>
      <c r="I177" s="366"/>
    </row>
    <row r="178" spans="1:9" ht="12.75" customHeight="1" x14ac:dyDescent="0.3">
      <c r="A178" s="374" t="s">
        <v>156</v>
      </c>
      <c r="B178" s="461"/>
      <c r="C178" s="461"/>
      <c r="D178" s="461"/>
      <c r="E178" s="421" t="str">
        <f t="shared" ref="E178:F178" si="204">IFERROR(C178/B178-1,"")</f>
        <v/>
      </c>
      <c r="F178" s="421" t="str">
        <f t="shared" si="204"/>
        <v/>
      </c>
      <c r="G178" s="421" t="str">
        <f t="shared" si="193"/>
        <v/>
      </c>
      <c r="H178" s="366"/>
      <c r="I178" s="366"/>
    </row>
    <row r="179" spans="1:9" ht="12.75" customHeight="1" x14ac:dyDescent="0.3">
      <c r="A179" s="374" t="s">
        <v>96</v>
      </c>
      <c r="B179" s="461"/>
      <c r="C179" s="461"/>
      <c r="D179" s="461"/>
      <c r="E179" s="421" t="str">
        <f t="shared" ref="E179:F179" si="205">IFERROR(C179/B179-1,"")</f>
        <v/>
      </c>
      <c r="F179" s="421" t="str">
        <f t="shared" si="205"/>
        <v/>
      </c>
      <c r="G179" s="421" t="str">
        <f t="shared" si="193"/>
        <v/>
      </c>
      <c r="H179" s="366"/>
      <c r="I179" s="366"/>
    </row>
    <row r="180" spans="1:9" ht="12.75" customHeight="1" x14ac:dyDescent="0.3">
      <c r="A180" s="374" t="s">
        <v>158</v>
      </c>
      <c r="B180" s="461"/>
      <c r="C180" s="461"/>
      <c r="D180" s="461"/>
      <c r="E180" s="421" t="str">
        <f t="shared" ref="E180:F180" si="206">IFERROR(C180/B180-1,"")</f>
        <v/>
      </c>
      <c r="F180" s="421" t="str">
        <f t="shared" si="206"/>
        <v/>
      </c>
      <c r="G180" s="421" t="str">
        <f t="shared" si="193"/>
        <v/>
      </c>
      <c r="H180" s="366"/>
      <c r="I180" s="366"/>
    </row>
    <row r="181" spans="1:9" ht="12.75" customHeight="1" x14ac:dyDescent="0.3">
      <c r="A181" s="377" t="s">
        <v>443</v>
      </c>
      <c r="B181" s="463">
        <f t="shared" ref="B181:D181" si="207">SUM(B144,B126)</f>
        <v>166.12361069397167</v>
      </c>
      <c r="C181" s="463">
        <f t="shared" si="207"/>
        <v>182.66691115336351</v>
      </c>
      <c r="D181" s="463">
        <f t="shared" si="207"/>
        <v>183.49579903619002</v>
      </c>
      <c r="E181" s="456">
        <f t="shared" ref="E181:F181" si="208">IFERROR(C181/B181-1,"")</f>
        <v>9.9584281790427998E-2</v>
      </c>
      <c r="F181" s="456">
        <f t="shared" si="208"/>
        <v>4.5377013143370615E-3</v>
      </c>
      <c r="G181" s="456">
        <f t="shared" si="193"/>
        <v>5.0987091657710648E-2</v>
      </c>
      <c r="H181" s="366"/>
      <c r="I181" s="366"/>
    </row>
    <row r="182" spans="1:9" ht="12.75" customHeight="1" x14ac:dyDescent="0.3">
      <c r="H182" s="366"/>
      <c r="I182" s="366"/>
    </row>
    <row r="183" spans="1:9" ht="12.75" customHeight="1" x14ac:dyDescent="0.3">
      <c r="A183" s="412" t="s">
        <v>472</v>
      </c>
      <c r="B183" s="612" t="s">
        <v>545</v>
      </c>
      <c r="C183" s="546"/>
      <c r="D183" s="534"/>
      <c r="E183" s="612" t="s">
        <v>437</v>
      </c>
      <c r="F183" s="534"/>
      <c r="G183" s="447" t="s">
        <v>438</v>
      </c>
      <c r="H183" s="366"/>
      <c r="I183" s="366"/>
    </row>
    <row r="184" spans="1:9" ht="12.75" customHeight="1" x14ac:dyDescent="0.3">
      <c r="A184" s="412" t="s">
        <v>472</v>
      </c>
      <c r="B184" s="414">
        <v>2019</v>
      </c>
      <c r="C184" s="414">
        <v>2020</v>
      </c>
      <c r="D184" s="414">
        <v>2021</v>
      </c>
      <c r="E184" s="414">
        <v>2020</v>
      </c>
      <c r="F184" s="414">
        <v>2021</v>
      </c>
      <c r="G184" s="414" t="s">
        <v>521</v>
      </c>
      <c r="H184" s="366"/>
      <c r="I184" s="366"/>
    </row>
    <row r="185" spans="1:9" ht="12.75" customHeight="1" x14ac:dyDescent="0.3">
      <c r="A185" s="374" t="s">
        <v>145</v>
      </c>
      <c r="B185" s="461"/>
      <c r="C185" s="461"/>
      <c r="D185" s="461"/>
      <c r="E185" s="421" t="str">
        <f t="shared" ref="E185:F185" si="209">IFERROR(C185/B185-1,"")</f>
        <v/>
      </c>
      <c r="F185" s="421" t="str">
        <f t="shared" si="209"/>
        <v/>
      </c>
      <c r="G185" s="421" t="str">
        <f t="shared" ref="G185:G199" si="210">IFERROR(((D185/B185)^(1/2)-1),"")</f>
        <v/>
      </c>
      <c r="H185" s="366"/>
      <c r="I185" s="366"/>
    </row>
    <row r="186" spans="1:9" ht="12.75" customHeight="1" x14ac:dyDescent="0.3">
      <c r="A186" s="374" t="s">
        <v>146</v>
      </c>
      <c r="B186" s="461"/>
      <c r="C186" s="461"/>
      <c r="D186" s="461"/>
      <c r="E186" s="421" t="str">
        <f t="shared" ref="E186:F186" si="211">IFERROR(C186/B186-1,"")</f>
        <v/>
      </c>
      <c r="F186" s="421" t="str">
        <f t="shared" si="211"/>
        <v/>
      </c>
      <c r="G186" s="421" t="str">
        <f t="shared" si="210"/>
        <v/>
      </c>
      <c r="H186" s="366"/>
      <c r="I186" s="366"/>
    </row>
    <row r="187" spans="1:9" ht="12.75" customHeight="1" x14ac:dyDescent="0.3">
      <c r="A187" s="374" t="s">
        <v>147</v>
      </c>
      <c r="B187" s="461"/>
      <c r="C187" s="461"/>
      <c r="D187" s="461"/>
      <c r="E187" s="421" t="str">
        <f t="shared" ref="E187:F187" si="212">IFERROR(C187/B187-1,"")</f>
        <v/>
      </c>
      <c r="F187" s="421" t="str">
        <f t="shared" si="212"/>
        <v/>
      </c>
      <c r="G187" s="421" t="str">
        <f t="shared" si="210"/>
        <v/>
      </c>
      <c r="H187" s="366"/>
      <c r="I187" s="366"/>
    </row>
    <row r="188" spans="1:9" ht="12.75" customHeight="1" x14ac:dyDescent="0.3">
      <c r="A188" s="374" t="s">
        <v>148</v>
      </c>
      <c r="B188" s="461"/>
      <c r="C188" s="461"/>
      <c r="D188" s="461"/>
      <c r="E188" s="421" t="str">
        <f t="shared" ref="E188:F188" si="213">IFERROR(C188/B188-1,"")</f>
        <v/>
      </c>
      <c r="F188" s="421" t="str">
        <f t="shared" si="213"/>
        <v/>
      </c>
      <c r="G188" s="421" t="str">
        <f t="shared" si="210"/>
        <v/>
      </c>
      <c r="H188" s="366"/>
      <c r="I188" s="366"/>
    </row>
    <row r="189" spans="1:9" ht="12.75" customHeight="1" x14ac:dyDescent="0.3">
      <c r="A189" s="374" t="s">
        <v>149</v>
      </c>
      <c r="B189" s="461"/>
      <c r="C189" s="461"/>
      <c r="D189" s="461"/>
      <c r="E189" s="421" t="str">
        <f t="shared" ref="E189:F189" si="214">IFERROR(C189/B189-1,"")</f>
        <v/>
      </c>
      <c r="F189" s="421" t="str">
        <f t="shared" si="214"/>
        <v/>
      </c>
      <c r="G189" s="421" t="str">
        <f t="shared" si="210"/>
        <v/>
      </c>
      <c r="H189" s="366"/>
      <c r="I189" s="366"/>
    </row>
    <row r="190" spans="1:9" ht="12.75" customHeight="1" x14ac:dyDescent="0.3">
      <c r="A190" s="374" t="s">
        <v>198</v>
      </c>
      <c r="B190" s="461"/>
      <c r="C190" s="461"/>
      <c r="D190" s="461"/>
      <c r="E190" s="421" t="str">
        <f t="shared" ref="E190:F190" si="215">IFERROR(C190/B190-1,"")</f>
        <v/>
      </c>
      <c r="F190" s="421" t="str">
        <f t="shared" si="215"/>
        <v/>
      </c>
      <c r="G190" s="421" t="str">
        <f t="shared" si="210"/>
        <v/>
      </c>
      <c r="H190" s="366"/>
      <c r="I190" s="366"/>
    </row>
    <row r="191" spans="1:9" ht="12.75" customHeight="1" x14ac:dyDescent="0.3">
      <c r="A191" s="374" t="s">
        <v>199</v>
      </c>
      <c r="B191" s="461"/>
      <c r="C191" s="461"/>
      <c r="D191" s="461"/>
      <c r="E191" s="421" t="str">
        <f t="shared" ref="E191:F191" si="216">IFERROR(C191/B191-1,"")</f>
        <v/>
      </c>
      <c r="F191" s="421" t="str">
        <f t="shared" si="216"/>
        <v/>
      </c>
      <c r="G191" s="421" t="str">
        <f t="shared" si="210"/>
        <v/>
      </c>
      <c r="H191" s="366"/>
      <c r="I191" s="366"/>
    </row>
    <row r="192" spans="1:9" ht="12.75" customHeight="1" x14ac:dyDescent="0.3">
      <c r="A192" s="374" t="s">
        <v>152</v>
      </c>
      <c r="B192" s="461"/>
      <c r="C192" s="461"/>
      <c r="D192" s="461"/>
      <c r="E192" s="421" t="str">
        <f t="shared" ref="E192:F192" si="217">IFERROR(C192/B192-1,"")</f>
        <v/>
      </c>
      <c r="F192" s="421" t="str">
        <f t="shared" si="217"/>
        <v/>
      </c>
      <c r="G192" s="421" t="str">
        <f t="shared" si="210"/>
        <v/>
      </c>
      <c r="H192" s="366"/>
      <c r="I192" s="366"/>
    </row>
    <row r="193" spans="1:9" ht="12.75" customHeight="1" x14ac:dyDescent="0.3">
      <c r="A193" s="374" t="s">
        <v>153</v>
      </c>
      <c r="B193" s="461"/>
      <c r="C193" s="461"/>
      <c r="D193" s="461"/>
      <c r="E193" s="421" t="str">
        <f t="shared" ref="E193:F193" si="218">IFERROR(C193/B193-1,"")</f>
        <v/>
      </c>
      <c r="F193" s="421" t="str">
        <f t="shared" si="218"/>
        <v/>
      </c>
      <c r="G193" s="421" t="str">
        <f t="shared" si="210"/>
        <v/>
      </c>
      <c r="H193" s="366"/>
      <c r="I193" s="366"/>
    </row>
    <row r="194" spans="1:9" ht="12.75" customHeight="1" x14ac:dyDescent="0.3">
      <c r="A194" s="374" t="s">
        <v>154</v>
      </c>
      <c r="B194" s="461"/>
      <c r="C194" s="461"/>
      <c r="D194" s="461"/>
      <c r="E194" s="421" t="str">
        <f t="shared" ref="E194:F194" si="219">IFERROR(C194/B194-1,"")</f>
        <v/>
      </c>
      <c r="F194" s="421" t="str">
        <f t="shared" si="219"/>
        <v/>
      </c>
      <c r="G194" s="421" t="str">
        <f t="shared" si="210"/>
        <v/>
      </c>
      <c r="H194" s="366"/>
      <c r="I194" s="366"/>
    </row>
    <row r="195" spans="1:9" ht="12.75" customHeight="1" x14ac:dyDescent="0.3">
      <c r="A195" s="374" t="s">
        <v>155</v>
      </c>
      <c r="B195" s="461"/>
      <c r="C195" s="461"/>
      <c r="D195" s="461"/>
      <c r="E195" s="421" t="str">
        <f t="shared" ref="E195:F195" si="220">IFERROR(C195/B195-1,"")</f>
        <v/>
      </c>
      <c r="F195" s="421" t="str">
        <f t="shared" si="220"/>
        <v/>
      </c>
      <c r="G195" s="421" t="str">
        <f t="shared" si="210"/>
        <v/>
      </c>
      <c r="H195" s="366"/>
      <c r="I195" s="366"/>
    </row>
    <row r="196" spans="1:9" ht="12.75" customHeight="1" x14ac:dyDescent="0.3">
      <c r="A196" s="374" t="s">
        <v>156</v>
      </c>
      <c r="B196" s="461"/>
      <c r="C196" s="461"/>
      <c r="D196" s="461"/>
      <c r="E196" s="421" t="str">
        <f t="shared" ref="E196:F196" si="221">IFERROR(C196/B196-1,"")</f>
        <v/>
      </c>
      <c r="F196" s="421" t="str">
        <f t="shared" si="221"/>
        <v/>
      </c>
      <c r="G196" s="421" t="str">
        <f t="shared" si="210"/>
        <v/>
      </c>
      <c r="H196" s="366"/>
      <c r="I196" s="366"/>
    </row>
    <row r="197" spans="1:9" ht="12.75" customHeight="1" x14ac:dyDescent="0.3">
      <c r="A197" s="374" t="s">
        <v>96</v>
      </c>
      <c r="B197" s="461"/>
      <c r="C197" s="461"/>
      <c r="D197" s="461"/>
      <c r="E197" s="421" t="str">
        <f t="shared" ref="E197:F197" si="222">IFERROR(C197/B197-1,"")</f>
        <v/>
      </c>
      <c r="F197" s="421" t="str">
        <f t="shared" si="222"/>
        <v/>
      </c>
      <c r="G197" s="421" t="str">
        <f t="shared" si="210"/>
        <v/>
      </c>
      <c r="H197" s="366"/>
      <c r="I197" s="366"/>
    </row>
    <row r="198" spans="1:9" ht="12.75" customHeight="1" x14ac:dyDescent="0.3">
      <c r="A198" s="374" t="s">
        <v>158</v>
      </c>
      <c r="B198" s="461"/>
      <c r="C198" s="461"/>
      <c r="D198" s="461"/>
      <c r="E198" s="421" t="str">
        <f t="shared" ref="E198:F198" si="223">IFERROR(C198/B198-1,"")</f>
        <v/>
      </c>
      <c r="F198" s="421" t="str">
        <f t="shared" si="223"/>
        <v/>
      </c>
      <c r="G198" s="421" t="str">
        <f t="shared" si="210"/>
        <v/>
      </c>
      <c r="H198" s="366"/>
      <c r="I198" s="366"/>
    </row>
    <row r="199" spans="1:9" ht="12.75" customHeight="1" x14ac:dyDescent="0.3">
      <c r="A199" s="377" t="s">
        <v>443</v>
      </c>
      <c r="B199" s="463">
        <f t="shared" ref="B199:D199" si="224">SUM(B181,B144)</f>
        <v>312.89694153719711</v>
      </c>
      <c r="C199" s="463">
        <f t="shared" si="224"/>
        <v>340.64628129622838</v>
      </c>
      <c r="D199" s="463">
        <f t="shared" si="224"/>
        <v>343.27195311543278</v>
      </c>
      <c r="E199" s="456">
        <f t="shared" ref="E199:F199" si="225">IFERROR(C199/B199-1,"")</f>
        <v>8.8685238093746177E-2</v>
      </c>
      <c r="F199" s="456">
        <f t="shared" si="225"/>
        <v>7.7079127628023603E-3</v>
      </c>
      <c r="G199" s="456">
        <f t="shared" si="210"/>
        <v>4.7414306249023763E-2</v>
      </c>
      <c r="H199" s="366"/>
      <c r="I199" s="366"/>
    </row>
    <row r="200" spans="1:9" ht="12.75" customHeight="1" x14ac:dyDescent="0.3">
      <c r="H200" s="366"/>
      <c r="I200" s="366"/>
    </row>
    <row r="201" spans="1:9" ht="12.75" customHeight="1" x14ac:dyDescent="0.3">
      <c r="A201" s="412" t="s">
        <v>472</v>
      </c>
      <c r="B201" s="612" t="s">
        <v>546</v>
      </c>
      <c r="C201" s="546"/>
      <c r="D201" s="534"/>
      <c r="E201" s="612"/>
      <c r="F201" s="534"/>
      <c r="G201" s="447"/>
      <c r="H201" s="366"/>
      <c r="I201" s="366"/>
    </row>
    <row r="202" spans="1:9" ht="12.75" customHeight="1" x14ac:dyDescent="0.3">
      <c r="A202" s="412" t="s">
        <v>472</v>
      </c>
      <c r="B202" s="414">
        <v>2019</v>
      </c>
      <c r="C202" s="414">
        <v>2020</v>
      </c>
      <c r="D202" s="414">
        <v>2021</v>
      </c>
      <c r="E202" s="414"/>
      <c r="F202" s="414"/>
      <c r="G202" s="414"/>
      <c r="H202" s="366"/>
      <c r="I202" s="366"/>
    </row>
    <row r="203" spans="1:9" ht="12.75" customHeight="1" x14ac:dyDescent="0.3">
      <c r="A203" s="374" t="s">
        <v>145</v>
      </c>
      <c r="B203" s="421">
        <f t="shared" ref="B203:D203" si="226">((B130-B94)/B130)</f>
        <v>0.5629879310887963</v>
      </c>
      <c r="C203" s="421">
        <f t="shared" si="226"/>
        <v>0.56037816382498551</v>
      </c>
      <c r="D203" s="421">
        <f t="shared" si="226"/>
        <v>0.54907639034368882</v>
      </c>
      <c r="E203" s="421"/>
      <c r="F203" s="421"/>
      <c r="G203" s="421"/>
      <c r="H203" s="366"/>
      <c r="I203" s="366"/>
    </row>
    <row r="204" spans="1:9" ht="12.75" customHeight="1" x14ac:dyDescent="0.3">
      <c r="A204" s="374" t="s">
        <v>146</v>
      </c>
      <c r="B204" s="421">
        <f t="shared" ref="B204:D204" si="227">((B131-B95)/B131)</f>
        <v>0.52065369509277237</v>
      </c>
      <c r="C204" s="421">
        <f t="shared" si="227"/>
        <v>0.53646047263068541</v>
      </c>
      <c r="D204" s="421">
        <f t="shared" si="227"/>
        <v>0.52331727552522411</v>
      </c>
      <c r="E204" s="421"/>
      <c r="F204" s="421"/>
      <c r="G204" s="421"/>
      <c r="H204" s="366"/>
      <c r="I204" s="366"/>
    </row>
    <row r="205" spans="1:9" ht="12.75" customHeight="1" x14ac:dyDescent="0.3">
      <c r="A205" s="374" t="s">
        <v>147</v>
      </c>
      <c r="B205" s="421">
        <f t="shared" ref="B205:D205" si="228">((B132-B96)/B132)</f>
        <v>0.17443351517126779</v>
      </c>
      <c r="C205" s="421">
        <f t="shared" si="228"/>
        <v>0.23804001470131708</v>
      </c>
      <c r="D205" s="421">
        <f t="shared" si="228"/>
        <v>0.27259094173748727</v>
      </c>
      <c r="E205" s="421"/>
      <c r="F205" s="421"/>
      <c r="G205" s="421"/>
      <c r="H205" s="366"/>
      <c r="I205" s="366"/>
    </row>
    <row r="206" spans="1:9" ht="12.75" customHeight="1" x14ac:dyDescent="0.3">
      <c r="A206" s="374" t="s">
        <v>148</v>
      </c>
      <c r="B206" s="421"/>
      <c r="C206" s="421"/>
      <c r="D206" s="421"/>
      <c r="E206" s="421"/>
      <c r="F206" s="421"/>
      <c r="G206" s="421"/>
      <c r="H206" s="366"/>
      <c r="I206" s="366"/>
    </row>
    <row r="207" spans="1:9" ht="12.75" customHeight="1" x14ac:dyDescent="0.3">
      <c r="A207" s="374" t="s">
        <v>149</v>
      </c>
      <c r="B207" s="421">
        <f t="shared" ref="B207:D207" si="229">((B134-B98)/B134)</f>
        <v>0.30228434858828018</v>
      </c>
      <c r="C207" s="421">
        <f t="shared" si="229"/>
        <v>0.30630907160853821</v>
      </c>
      <c r="D207" s="421">
        <f t="shared" si="229"/>
        <v>0.38647893313891674</v>
      </c>
      <c r="E207" s="421"/>
      <c r="F207" s="421"/>
      <c r="G207" s="421"/>
      <c r="H207" s="366"/>
      <c r="I207" s="366"/>
    </row>
    <row r="208" spans="1:9" ht="12.75" customHeight="1" x14ac:dyDescent="0.3">
      <c r="A208" s="374" t="s">
        <v>198</v>
      </c>
      <c r="B208" s="421">
        <f t="shared" ref="B208:D208" si="230">((B135-B99)/B135)</f>
        <v>0.50637345431186764</v>
      </c>
      <c r="C208" s="421">
        <f t="shared" si="230"/>
        <v>0.54754893828798934</v>
      </c>
      <c r="D208" s="421">
        <f t="shared" si="230"/>
        <v>0.54010671007415445</v>
      </c>
      <c r="E208" s="421"/>
      <c r="F208" s="421"/>
      <c r="G208" s="421"/>
      <c r="H208" s="366"/>
      <c r="I208" s="366"/>
    </row>
    <row r="209" spans="1:9" ht="12.75" customHeight="1" x14ac:dyDescent="0.3">
      <c r="A209" s="374" t="s">
        <v>199</v>
      </c>
      <c r="B209" s="421">
        <f t="shared" ref="B209:D209" si="231">((B136-B100)/B136)</f>
        <v>0.53937007874015752</v>
      </c>
      <c r="C209" s="421">
        <f t="shared" si="231"/>
        <v>0.55205570291777184</v>
      </c>
      <c r="D209" s="421">
        <f t="shared" si="231"/>
        <v>0.58026527829428531</v>
      </c>
      <c r="E209" s="421"/>
      <c r="F209" s="421"/>
      <c r="G209" s="421"/>
      <c r="H209" s="366"/>
      <c r="I209" s="366"/>
    </row>
    <row r="210" spans="1:9" ht="12.75" customHeight="1" x14ac:dyDescent="0.3">
      <c r="A210" s="374" t="s">
        <v>152</v>
      </c>
      <c r="B210" s="421">
        <f t="shared" ref="B210:D210" si="232">((B137-B101)/B137)</f>
        <v>0</v>
      </c>
      <c r="C210" s="421">
        <f t="shared" si="232"/>
        <v>0</v>
      </c>
      <c r="D210" s="421">
        <f t="shared" si="232"/>
        <v>0</v>
      </c>
      <c r="E210" s="421"/>
      <c r="F210" s="421"/>
      <c r="G210" s="421"/>
      <c r="H210" s="366"/>
      <c r="I210" s="366"/>
    </row>
    <row r="211" spans="1:9" ht="12.75" customHeight="1" x14ac:dyDescent="0.3">
      <c r="A211" s="374" t="s">
        <v>153</v>
      </c>
      <c r="B211" s="421">
        <f t="shared" ref="B211:D211" si="233">((B138-B102)/B138)</f>
        <v>-2.4941576375610803E-2</v>
      </c>
      <c r="C211" s="421">
        <f t="shared" si="233"/>
        <v>-3.9152486135469504E-2</v>
      </c>
      <c r="D211" s="421">
        <f t="shared" si="233"/>
        <v>0.15104166666666663</v>
      </c>
      <c r="E211" s="421"/>
      <c r="F211" s="421"/>
      <c r="G211" s="421"/>
      <c r="H211" s="366"/>
      <c r="I211" s="366"/>
    </row>
    <row r="212" spans="1:9" ht="12.75" customHeight="1" x14ac:dyDescent="0.3">
      <c r="A212" s="374" t="s">
        <v>154</v>
      </c>
      <c r="B212" s="421"/>
      <c r="C212" s="421"/>
      <c r="D212" s="421"/>
      <c r="E212" s="421"/>
      <c r="F212" s="421"/>
      <c r="G212" s="421"/>
      <c r="H212" s="366"/>
      <c r="I212" s="366"/>
    </row>
    <row r="213" spans="1:9" ht="12.75" customHeight="1" x14ac:dyDescent="0.3">
      <c r="A213" s="374" t="s">
        <v>155</v>
      </c>
      <c r="B213" s="421"/>
      <c r="C213" s="421"/>
      <c r="D213" s="421"/>
      <c r="E213" s="421"/>
      <c r="F213" s="421"/>
      <c r="G213" s="421"/>
      <c r="H213" s="366"/>
      <c r="I213" s="366"/>
    </row>
    <row r="214" spans="1:9" ht="12.75" customHeight="1" x14ac:dyDescent="0.3">
      <c r="A214" s="374" t="s">
        <v>156</v>
      </c>
      <c r="B214" s="421"/>
      <c r="C214" s="421"/>
      <c r="D214" s="421"/>
      <c r="E214" s="421"/>
      <c r="F214" s="421"/>
      <c r="G214" s="421"/>
      <c r="H214" s="366"/>
      <c r="I214" s="366"/>
    </row>
    <row r="215" spans="1:9" ht="12.75" customHeight="1" x14ac:dyDescent="0.3">
      <c r="A215" s="374" t="s">
        <v>96</v>
      </c>
      <c r="B215" s="421"/>
      <c r="C215" s="421"/>
      <c r="D215" s="421"/>
      <c r="E215" s="421"/>
      <c r="F215" s="421"/>
      <c r="G215" s="421"/>
      <c r="H215" s="366"/>
      <c r="I215" s="366"/>
    </row>
    <row r="216" spans="1:9" ht="12.75" customHeight="1" x14ac:dyDescent="0.3">
      <c r="A216" s="374" t="s">
        <v>158</v>
      </c>
      <c r="B216" s="421"/>
      <c r="C216" s="421"/>
      <c r="D216" s="421"/>
      <c r="E216" s="421"/>
      <c r="F216" s="421"/>
      <c r="G216" s="421"/>
      <c r="H216" s="366"/>
      <c r="I216" s="366"/>
    </row>
    <row r="217" spans="1:9" ht="12.75" customHeight="1" x14ac:dyDescent="0.3">
      <c r="A217" s="377"/>
      <c r="B217" s="463"/>
      <c r="C217" s="463"/>
      <c r="D217" s="463"/>
      <c r="E217" s="456"/>
      <c r="F217" s="456"/>
      <c r="G217" s="456"/>
      <c r="H217" s="366"/>
      <c r="I217" s="366"/>
    </row>
    <row r="218" spans="1:9" ht="12.75" customHeight="1" x14ac:dyDescent="0.3">
      <c r="H218" s="366"/>
      <c r="I218" s="366"/>
    </row>
    <row r="219" spans="1:9" ht="12.75" customHeight="1" x14ac:dyDescent="0.3">
      <c r="H219" s="366"/>
      <c r="I219" s="366"/>
    </row>
    <row r="220" spans="1:9" ht="12.75" customHeight="1" x14ac:dyDescent="0.3">
      <c r="H220" s="366"/>
      <c r="I220" s="366"/>
    </row>
    <row r="221" spans="1:9" ht="12.75" customHeight="1" x14ac:dyDescent="0.3">
      <c r="H221" s="366"/>
      <c r="I221" s="366"/>
    </row>
    <row r="222" spans="1:9" ht="12.75" customHeight="1" x14ac:dyDescent="0.3">
      <c r="H222" s="366"/>
      <c r="I222" s="366"/>
    </row>
    <row r="223" spans="1:9" ht="12.75" customHeight="1" x14ac:dyDescent="0.3">
      <c r="H223" s="366"/>
      <c r="I223" s="366"/>
    </row>
    <row r="224" spans="1:9" ht="12.75" customHeight="1" x14ac:dyDescent="0.3">
      <c r="H224" s="366"/>
      <c r="I224" s="366"/>
    </row>
    <row r="225" spans="8:9" ht="12.75" customHeight="1" x14ac:dyDescent="0.3">
      <c r="H225" s="366"/>
      <c r="I225" s="366"/>
    </row>
    <row r="226" spans="8:9" ht="12.75" customHeight="1" x14ac:dyDescent="0.3">
      <c r="H226" s="366"/>
      <c r="I226" s="366"/>
    </row>
    <row r="227" spans="8:9" ht="12.75" customHeight="1" x14ac:dyDescent="0.3">
      <c r="H227" s="366"/>
      <c r="I227" s="366"/>
    </row>
    <row r="228" spans="8:9" ht="12.75" customHeight="1" x14ac:dyDescent="0.3">
      <c r="H228" s="366"/>
      <c r="I228" s="366"/>
    </row>
    <row r="229" spans="8:9" ht="12.75" customHeight="1" x14ac:dyDescent="0.3">
      <c r="H229" s="366"/>
      <c r="I229" s="366"/>
    </row>
    <row r="230" spans="8:9" ht="12.75" customHeight="1" x14ac:dyDescent="0.3">
      <c r="H230" s="366"/>
      <c r="I230" s="366"/>
    </row>
    <row r="231" spans="8:9" ht="12.75" customHeight="1" x14ac:dyDescent="0.3">
      <c r="H231" s="366"/>
      <c r="I231" s="366"/>
    </row>
    <row r="232" spans="8:9" ht="12.75" customHeight="1" x14ac:dyDescent="0.3">
      <c r="H232" s="366"/>
      <c r="I232" s="366"/>
    </row>
    <row r="233" spans="8:9" ht="12.75" customHeight="1" x14ac:dyDescent="0.3">
      <c r="H233" s="366"/>
      <c r="I233" s="366"/>
    </row>
    <row r="234" spans="8:9" ht="12.75" customHeight="1" x14ac:dyDescent="0.3">
      <c r="H234" s="366"/>
      <c r="I234" s="366"/>
    </row>
    <row r="235" spans="8:9" ht="12.75" customHeight="1" x14ac:dyDescent="0.3">
      <c r="H235" s="366"/>
      <c r="I235" s="366"/>
    </row>
    <row r="236" spans="8:9" ht="12.75" customHeight="1" x14ac:dyDescent="0.3">
      <c r="H236" s="366"/>
      <c r="I236" s="366"/>
    </row>
    <row r="237" spans="8:9" ht="12.75" customHeight="1" x14ac:dyDescent="0.3">
      <c r="H237" s="366"/>
      <c r="I237" s="366"/>
    </row>
    <row r="238" spans="8:9" ht="12.75" customHeight="1" x14ac:dyDescent="0.3">
      <c r="H238" s="366"/>
      <c r="I238" s="366"/>
    </row>
    <row r="239" spans="8:9" ht="12.75" customHeight="1" x14ac:dyDescent="0.3">
      <c r="H239" s="366"/>
      <c r="I239" s="366"/>
    </row>
    <row r="240" spans="8:9" ht="12.75" customHeight="1" x14ac:dyDescent="0.3">
      <c r="H240" s="366"/>
      <c r="I240" s="366"/>
    </row>
    <row r="241" spans="8:9" ht="12.75" customHeight="1" x14ac:dyDescent="0.3">
      <c r="H241" s="366"/>
      <c r="I241" s="366"/>
    </row>
    <row r="242" spans="8:9" ht="12.75" customHeight="1" x14ac:dyDescent="0.3">
      <c r="H242" s="366"/>
      <c r="I242" s="366"/>
    </row>
    <row r="243" spans="8:9" ht="12.75" customHeight="1" x14ac:dyDescent="0.3">
      <c r="H243" s="366"/>
      <c r="I243" s="366"/>
    </row>
    <row r="244" spans="8:9" ht="12.75" customHeight="1" x14ac:dyDescent="0.3">
      <c r="H244" s="366"/>
      <c r="I244" s="366"/>
    </row>
    <row r="245" spans="8:9" ht="12.75" customHeight="1" x14ac:dyDescent="0.3">
      <c r="H245" s="366"/>
      <c r="I245" s="366"/>
    </row>
    <row r="246" spans="8:9" ht="12.75" customHeight="1" x14ac:dyDescent="0.3">
      <c r="H246" s="366"/>
      <c r="I246" s="366"/>
    </row>
    <row r="247" spans="8:9" ht="12.75" customHeight="1" x14ac:dyDescent="0.3">
      <c r="H247" s="366"/>
      <c r="I247" s="366"/>
    </row>
    <row r="248" spans="8:9" ht="12.75" customHeight="1" x14ac:dyDescent="0.3">
      <c r="H248" s="366"/>
      <c r="I248" s="366"/>
    </row>
    <row r="249" spans="8:9" ht="12.75" customHeight="1" x14ac:dyDescent="0.3">
      <c r="H249" s="366"/>
      <c r="I249" s="366"/>
    </row>
    <row r="250" spans="8:9" ht="12.75" customHeight="1" x14ac:dyDescent="0.3">
      <c r="H250" s="366"/>
      <c r="I250" s="366"/>
    </row>
    <row r="251" spans="8:9" ht="12.75" customHeight="1" x14ac:dyDescent="0.3">
      <c r="H251" s="366"/>
      <c r="I251" s="366"/>
    </row>
    <row r="252" spans="8:9" ht="12.75" customHeight="1" x14ac:dyDescent="0.3">
      <c r="H252" s="366"/>
      <c r="I252" s="366"/>
    </row>
    <row r="253" spans="8:9" ht="12.75" customHeight="1" x14ac:dyDescent="0.3">
      <c r="H253" s="366"/>
      <c r="I253" s="366"/>
    </row>
    <row r="254" spans="8:9" ht="12.75" customHeight="1" x14ac:dyDescent="0.3">
      <c r="H254" s="366"/>
      <c r="I254" s="366"/>
    </row>
    <row r="255" spans="8:9" ht="12.75" customHeight="1" x14ac:dyDescent="0.3">
      <c r="H255" s="366"/>
      <c r="I255" s="366"/>
    </row>
    <row r="256" spans="8:9" ht="12.75" customHeight="1" x14ac:dyDescent="0.3">
      <c r="H256" s="366"/>
      <c r="I256" s="366"/>
    </row>
    <row r="257" spans="8:9" ht="12.75" customHeight="1" x14ac:dyDescent="0.3">
      <c r="H257" s="366"/>
      <c r="I257" s="366"/>
    </row>
    <row r="258" spans="8:9" ht="12.75" customHeight="1" x14ac:dyDescent="0.3">
      <c r="H258" s="366"/>
      <c r="I258" s="366"/>
    </row>
    <row r="259" spans="8:9" ht="12.75" customHeight="1" x14ac:dyDescent="0.3">
      <c r="H259" s="366"/>
      <c r="I259" s="366"/>
    </row>
    <row r="260" spans="8:9" ht="12.75" customHeight="1" x14ac:dyDescent="0.3">
      <c r="H260" s="366"/>
      <c r="I260" s="366"/>
    </row>
    <row r="261" spans="8:9" ht="12.75" customHeight="1" x14ac:dyDescent="0.3">
      <c r="H261" s="366"/>
      <c r="I261" s="366"/>
    </row>
    <row r="262" spans="8:9" ht="12.75" customHeight="1" x14ac:dyDescent="0.3">
      <c r="H262" s="366"/>
      <c r="I262" s="366"/>
    </row>
    <row r="263" spans="8:9" ht="12.75" customHeight="1" x14ac:dyDescent="0.3">
      <c r="H263" s="366"/>
      <c r="I263" s="366"/>
    </row>
    <row r="264" spans="8:9" ht="12.75" customHeight="1" x14ac:dyDescent="0.3">
      <c r="H264" s="366"/>
      <c r="I264" s="366"/>
    </row>
    <row r="265" spans="8:9" ht="12.75" customHeight="1" x14ac:dyDescent="0.3">
      <c r="H265" s="366"/>
      <c r="I265" s="366"/>
    </row>
    <row r="266" spans="8:9" ht="12.75" customHeight="1" x14ac:dyDescent="0.3">
      <c r="H266" s="366"/>
      <c r="I266" s="366"/>
    </row>
    <row r="267" spans="8:9" ht="12.75" customHeight="1" x14ac:dyDescent="0.3">
      <c r="H267" s="366"/>
      <c r="I267" s="366"/>
    </row>
    <row r="268" spans="8:9" ht="12.75" customHeight="1" x14ac:dyDescent="0.3">
      <c r="H268" s="366"/>
      <c r="I268" s="366"/>
    </row>
    <row r="269" spans="8:9" ht="12.75" customHeight="1" x14ac:dyDescent="0.3">
      <c r="H269" s="366"/>
      <c r="I269" s="366"/>
    </row>
    <row r="270" spans="8:9" ht="12.75" customHeight="1" x14ac:dyDescent="0.3">
      <c r="H270" s="366"/>
      <c r="I270" s="366"/>
    </row>
    <row r="271" spans="8:9" ht="12.75" customHeight="1" x14ac:dyDescent="0.3">
      <c r="H271" s="366"/>
      <c r="I271" s="366"/>
    </row>
    <row r="272" spans="8:9" ht="12.75" customHeight="1" x14ac:dyDescent="0.3">
      <c r="H272" s="366"/>
      <c r="I272" s="366"/>
    </row>
    <row r="273" spans="8:9" ht="12.75" customHeight="1" x14ac:dyDescent="0.3">
      <c r="H273" s="366"/>
      <c r="I273" s="366"/>
    </row>
    <row r="274" spans="8:9" ht="12.75" customHeight="1" x14ac:dyDescent="0.3">
      <c r="H274" s="366"/>
      <c r="I274" s="366"/>
    </row>
    <row r="275" spans="8:9" ht="12.75" customHeight="1" x14ac:dyDescent="0.3">
      <c r="H275" s="366"/>
      <c r="I275" s="366"/>
    </row>
    <row r="276" spans="8:9" ht="12.75" customHeight="1" x14ac:dyDescent="0.3">
      <c r="H276" s="366"/>
      <c r="I276" s="366"/>
    </row>
    <row r="277" spans="8:9" ht="12.75" customHeight="1" x14ac:dyDescent="0.3">
      <c r="H277" s="366"/>
      <c r="I277" s="366"/>
    </row>
    <row r="278" spans="8:9" ht="12.75" customHeight="1" x14ac:dyDescent="0.3">
      <c r="H278" s="366"/>
      <c r="I278" s="366"/>
    </row>
    <row r="279" spans="8:9" ht="12.75" customHeight="1" x14ac:dyDescent="0.3">
      <c r="H279" s="366"/>
      <c r="I279" s="366"/>
    </row>
    <row r="280" spans="8:9" ht="12.75" customHeight="1" x14ac:dyDescent="0.3">
      <c r="H280" s="366"/>
      <c r="I280" s="366"/>
    </row>
    <row r="281" spans="8:9" ht="12.75" customHeight="1" x14ac:dyDescent="0.3">
      <c r="H281" s="366"/>
      <c r="I281" s="366"/>
    </row>
    <row r="282" spans="8:9" ht="12.75" customHeight="1" x14ac:dyDescent="0.3">
      <c r="H282" s="366"/>
      <c r="I282" s="366"/>
    </row>
    <row r="283" spans="8:9" ht="12.75" customHeight="1" x14ac:dyDescent="0.3">
      <c r="H283" s="366"/>
      <c r="I283" s="366"/>
    </row>
    <row r="284" spans="8:9" ht="12.75" customHeight="1" x14ac:dyDescent="0.3">
      <c r="H284" s="366"/>
      <c r="I284" s="366"/>
    </row>
    <row r="285" spans="8:9" ht="12.75" customHeight="1" x14ac:dyDescent="0.3">
      <c r="H285" s="366"/>
      <c r="I285" s="366"/>
    </row>
    <row r="286" spans="8:9" ht="12.75" customHeight="1" x14ac:dyDescent="0.3">
      <c r="H286" s="366"/>
      <c r="I286" s="366"/>
    </row>
    <row r="287" spans="8:9" ht="12.75" customHeight="1" x14ac:dyDescent="0.3">
      <c r="H287" s="366"/>
      <c r="I287" s="366"/>
    </row>
    <row r="288" spans="8:9" ht="12.75" customHeight="1" x14ac:dyDescent="0.3">
      <c r="H288" s="366"/>
      <c r="I288" s="366"/>
    </row>
    <row r="289" spans="8:9" ht="12.75" customHeight="1" x14ac:dyDescent="0.3">
      <c r="H289" s="366"/>
      <c r="I289" s="366"/>
    </row>
    <row r="290" spans="8:9" ht="12.75" customHeight="1" x14ac:dyDescent="0.3">
      <c r="H290" s="366"/>
      <c r="I290" s="366"/>
    </row>
    <row r="291" spans="8:9" ht="12.75" customHeight="1" x14ac:dyDescent="0.3">
      <c r="H291" s="366"/>
      <c r="I291" s="366"/>
    </row>
    <row r="292" spans="8:9" ht="12.75" customHeight="1" x14ac:dyDescent="0.3">
      <c r="H292" s="366"/>
      <c r="I292" s="366"/>
    </row>
    <row r="293" spans="8:9" ht="12.75" customHeight="1" x14ac:dyDescent="0.3">
      <c r="H293" s="366"/>
      <c r="I293" s="366"/>
    </row>
    <row r="294" spans="8:9" ht="12.75" customHeight="1" x14ac:dyDescent="0.3">
      <c r="H294" s="366"/>
      <c r="I294" s="366"/>
    </row>
    <row r="295" spans="8:9" ht="12.75" customHeight="1" x14ac:dyDescent="0.3">
      <c r="H295" s="366"/>
      <c r="I295" s="366"/>
    </row>
    <row r="296" spans="8:9" ht="12.75" customHeight="1" x14ac:dyDescent="0.3">
      <c r="H296" s="366"/>
      <c r="I296" s="366"/>
    </row>
    <row r="297" spans="8:9" ht="12.75" customHeight="1" x14ac:dyDescent="0.3">
      <c r="H297" s="366"/>
      <c r="I297" s="366"/>
    </row>
    <row r="298" spans="8:9" ht="12.75" customHeight="1" x14ac:dyDescent="0.3">
      <c r="H298" s="366"/>
      <c r="I298" s="366"/>
    </row>
    <row r="299" spans="8:9" ht="12.75" customHeight="1" x14ac:dyDescent="0.3">
      <c r="H299" s="366"/>
      <c r="I299" s="366"/>
    </row>
    <row r="300" spans="8:9" ht="12.75" customHeight="1" x14ac:dyDescent="0.3">
      <c r="H300" s="366"/>
      <c r="I300" s="366"/>
    </row>
    <row r="301" spans="8:9" ht="12.75" customHeight="1" x14ac:dyDescent="0.3">
      <c r="H301" s="366"/>
      <c r="I301" s="366"/>
    </row>
    <row r="302" spans="8:9" ht="12.75" customHeight="1" x14ac:dyDescent="0.3">
      <c r="H302" s="366"/>
      <c r="I302" s="366"/>
    </row>
    <row r="303" spans="8:9" ht="12.75" customHeight="1" x14ac:dyDescent="0.3">
      <c r="H303" s="366"/>
      <c r="I303" s="366"/>
    </row>
    <row r="304" spans="8:9" ht="12.75" customHeight="1" x14ac:dyDescent="0.3">
      <c r="H304" s="366"/>
      <c r="I304" s="366"/>
    </row>
    <row r="305" spans="8:9" ht="12.75" customHeight="1" x14ac:dyDescent="0.3">
      <c r="H305" s="366"/>
      <c r="I305" s="366"/>
    </row>
    <row r="306" spans="8:9" ht="12.75" customHeight="1" x14ac:dyDescent="0.3">
      <c r="H306" s="366"/>
      <c r="I306" s="366"/>
    </row>
    <row r="307" spans="8:9" ht="12.75" customHeight="1" x14ac:dyDescent="0.3">
      <c r="H307" s="366"/>
      <c r="I307" s="366"/>
    </row>
    <row r="308" spans="8:9" ht="12.75" customHeight="1" x14ac:dyDescent="0.3">
      <c r="H308" s="366"/>
      <c r="I308" s="366"/>
    </row>
    <row r="309" spans="8:9" ht="12.75" customHeight="1" x14ac:dyDescent="0.3">
      <c r="H309" s="366"/>
      <c r="I309" s="366"/>
    </row>
    <row r="310" spans="8:9" ht="12.75" customHeight="1" x14ac:dyDescent="0.3">
      <c r="H310" s="366"/>
      <c r="I310" s="366"/>
    </row>
    <row r="311" spans="8:9" ht="12.75" customHeight="1" x14ac:dyDescent="0.3">
      <c r="H311" s="366"/>
      <c r="I311" s="366"/>
    </row>
    <row r="312" spans="8:9" ht="12.75" customHeight="1" x14ac:dyDescent="0.3">
      <c r="H312" s="366"/>
      <c r="I312" s="366"/>
    </row>
    <row r="313" spans="8:9" ht="12.75" customHeight="1" x14ac:dyDescent="0.3">
      <c r="H313" s="366"/>
      <c r="I313" s="366"/>
    </row>
    <row r="314" spans="8:9" ht="12.75" customHeight="1" x14ac:dyDescent="0.3">
      <c r="H314" s="366"/>
      <c r="I314" s="366"/>
    </row>
    <row r="315" spans="8:9" ht="12.75" customHeight="1" x14ac:dyDescent="0.3">
      <c r="H315" s="366"/>
      <c r="I315" s="366"/>
    </row>
    <row r="316" spans="8:9" ht="12.75" customHeight="1" x14ac:dyDescent="0.3">
      <c r="H316" s="366"/>
      <c r="I316" s="366"/>
    </row>
    <row r="317" spans="8:9" ht="12.75" customHeight="1" x14ac:dyDescent="0.3">
      <c r="H317" s="366"/>
      <c r="I317" s="366"/>
    </row>
    <row r="318" spans="8:9" ht="12.75" customHeight="1" x14ac:dyDescent="0.3">
      <c r="H318" s="366"/>
      <c r="I318" s="366"/>
    </row>
    <row r="319" spans="8:9" ht="12.75" customHeight="1" x14ac:dyDescent="0.3">
      <c r="H319" s="366"/>
      <c r="I319" s="366"/>
    </row>
    <row r="320" spans="8:9" ht="12.75" customHeight="1" x14ac:dyDescent="0.3">
      <c r="H320" s="366"/>
      <c r="I320" s="366"/>
    </row>
    <row r="321" spans="8:9" ht="12.75" customHeight="1" x14ac:dyDescent="0.3">
      <c r="H321" s="366"/>
      <c r="I321" s="366"/>
    </row>
    <row r="322" spans="8:9" ht="12.75" customHeight="1" x14ac:dyDescent="0.3">
      <c r="H322" s="366"/>
      <c r="I322" s="366"/>
    </row>
    <row r="323" spans="8:9" ht="12.75" customHeight="1" x14ac:dyDescent="0.3">
      <c r="H323" s="366"/>
      <c r="I323" s="366"/>
    </row>
    <row r="324" spans="8:9" ht="12.75" customHeight="1" x14ac:dyDescent="0.3">
      <c r="H324" s="366"/>
      <c r="I324" s="366"/>
    </row>
    <row r="325" spans="8:9" ht="12.75" customHeight="1" x14ac:dyDescent="0.3">
      <c r="H325" s="366"/>
      <c r="I325" s="366"/>
    </row>
    <row r="326" spans="8:9" ht="12.75" customHeight="1" x14ac:dyDescent="0.3">
      <c r="H326" s="366"/>
      <c r="I326" s="366"/>
    </row>
    <row r="327" spans="8:9" ht="12.75" customHeight="1" x14ac:dyDescent="0.3">
      <c r="H327" s="366"/>
      <c r="I327" s="366"/>
    </row>
    <row r="328" spans="8:9" ht="12.75" customHeight="1" x14ac:dyDescent="0.3">
      <c r="H328" s="366"/>
      <c r="I328" s="366"/>
    </row>
    <row r="329" spans="8:9" ht="12.75" customHeight="1" x14ac:dyDescent="0.3">
      <c r="H329" s="366"/>
      <c r="I329" s="366"/>
    </row>
    <row r="330" spans="8:9" ht="12.75" customHeight="1" x14ac:dyDescent="0.3">
      <c r="H330" s="366"/>
      <c r="I330" s="366"/>
    </row>
    <row r="331" spans="8:9" ht="12.75" customHeight="1" x14ac:dyDescent="0.3">
      <c r="H331" s="366"/>
      <c r="I331" s="366"/>
    </row>
    <row r="332" spans="8:9" ht="12.75" customHeight="1" x14ac:dyDescent="0.3">
      <c r="H332" s="366"/>
      <c r="I332" s="366"/>
    </row>
    <row r="333" spans="8:9" ht="12.75" customHeight="1" x14ac:dyDescent="0.3">
      <c r="H333" s="366"/>
      <c r="I333" s="366"/>
    </row>
    <row r="334" spans="8:9" ht="12.75" customHeight="1" x14ac:dyDescent="0.3">
      <c r="H334" s="366"/>
      <c r="I334" s="366"/>
    </row>
    <row r="335" spans="8:9" ht="12.75" customHeight="1" x14ac:dyDescent="0.3">
      <c r="H335" s="366"/>
      <c r="I335" s="366"/>
    </row>
    <row r="336" spans="8:9" ht="12.75" customHeight="1" x14ac:dyDescent="0.3">
      <c r="H336" s="366"/>
      <c r="I336" s="366"/>
    </row>
    <row r="337" spans="8:9" ht="12.75" customHeight="1" x14ac:dyDescent="0.3">
      <c r="H337" s="366"/>
      <c r="I337" s="366"/>
    </row>
    <row r="338" spans="8:9" ht="12.75" customHeight="1" x14ac:dyDescent="0.3">
      <c r="H338" s="366"/>
      <c r="I338" s="366"/>
    </row>
    <row r="339" spans="8:9" ht="12.75" customHeight="1" x14ac:dyDescent="0.3">
      <c r="H339" s="366"/>
      <c r="I339" s="366"/>
    </row>
    <row r="340" spans="8:9" ht="12.75" customHeight="1" x14ac:dyDescent="0.3">
      <c r="H340" s="366"/>
      <c r="I340" s="366"/>
    </row>
    <row r="341" spans="8:9" ht="12.75" customHeight="1" x14ac:dyDescent="0.3">
      <c r="H341" s="366"/>
      <c r="I341" s="366"/>
    </row>
    <row r="342" spans="8:9" ht="12.75" customHeight="1" x14ac:dyDescent="0.3">
      <c r="H342" s="366"/>
      <c r="I342" s="366"/>
    </row>
    <row r="343" spans="8:9" ht="12.75" customHeight="1" x14ac:dyDescent="0.3">
      <c r="H343" s="366"/>
      <c r="I343" s="366"/>
    </row>
    <row r="344" spans="8:9" ht="12.75" customHeight="1" x14ac:dyDescent="0.3">
      <c r="H344" s="366"/>
      <c r="I344" s="366"/>
    </row>
    <row r="345" spans="8:9" ht="12.75" customHeight="1" x14ac:dyDescent="0.3">
      <c r="H345" s="366"/>
      <c r="I345" s="366"/>
    </row>
    <row r="346" spans="8:9" ht="12.75" customHeight="1" x14ac:dyDescent="0.3">
      <c r="H346" s="366"/>
      <c r="I346" s="366"/>
    </row>
    <row r="347" spans="8:9" ht="12.75" customHeight="1" x14ac:dyDescent="0.3">
      <c r="H347" s="366"/>
      <c r="I347" s="366"/>
    </row>
    <row r="348" spans="8:9" ht="12.75" customHeight="1" x14ac:dyDescent="0.3">
      <c r="H348" s="366"/>
      <c r="I348" s="366"/>
    </row>
    <row r="349" spans="8:9" ht="12.75" customHeight="1" x14ac:dyDescent="0.3">
      <c r="H349" s="366"/>
      <c r="I349" s="366"/>
    </row>
    <row r="350" spans="8:9" ht="12.75" customHeight="1" x14ac:dyDescent="0.3">
      <c r="H350" s="366"/>
      <c r="I350" s="366"/>
    </row>
    <row r="351" spans="8:9" ht="12.75" customHeight="1" x14ac:dyDescent="0.3">
      <c r="H351" s="366"/>
      <c r="I351" s="366"/>
    </row>
    <row r="352" spans="8:9" ht="12.75" customHeight="1" x14ac:dyDescent="0.3">
      <c r="H352" s="366"/>
      <c r="I352" s="366"/>
    </row>
    <row r="353" spans="8:9" ht="12.75" customHeight="1" x14ac:dyDescent="0.3">
      <c r="H353" s="366"/>
      <c r="I353" s="366"/>
    </row>
    <row r="354" spans="8:9" ht="12.75" customHeight="1" x14ac:dyDescent="0.3">
      <c r="H354" s="366"/>
      <c r="I354" s="366"/>
    </row>
    <row r="355" spans="8:9" ht="12.75" customHeight="1" x14ac:dyDescent="0.3">
      <c r="H355" s="366"/>
      <c r="I355" s="366"/>
    </row>
    <row r="356" spans="8:9" ht="12.75" customHeight="1" x14ac:dyDescent="0.3">
      <c r="H356" s="366"/>
      <c r="I356" s="366"/>
    </row>
    <row r="357" spans="8:9" ht="12.75" customHeight="1" x14ac:dyDescent="0.3">
      <c r="H357" s="366"/>
      <c r="I357" s="366"/>
    </row>
    <row r="358" spans="8:9" ht="12.75" customHeight="1" x14ac:dyDescent="0.3">
      <c r="H358" s="366"/>
      <c r="I358" s="366"/>
    </row>
    <row r="359" spans="8:9" ht="12.75" customHeight="1" x14ac:dyDescent="0.3">
      <c r="H359" s="366"/>
      <c r="I359" s="366"/>
    </row>
    <row r="360" spans="8:9" ht="12.75" customHeight="1" x14ac:dyDescent="0.3">
      <c r="H360" s="366"/>
      <c r="I360" s="366"/>
    </row>
    <row r="361" spans="8:9" ht="12.75" customHeight="1" x14ac:dyDescent="0.3">
      <c r="H361" s="366"/>
      <c r="I361" s="366"/>
    </row>
    <row r="362" spans="8:9" ht="12.75" customHeight="1" x14ac:dyDescent="0.3">
      <c r="H362" s="366"/>
      <c r="I362" s="366"/>
    </row>
    <row r="363" spans="8:9" ht="12.75" customHeight="1" x14ac:dyDescent="0.3">
      <c r="H363" s="366"/>
      <c r="I363" s="366"/>
    </row>
    <row r="364" spans="8:9" ht="12.75" customHeight="1" x14ac:dyDescent="0.3">
      <c r="H364" s="366"/>
      <c r="I364" s="366"/>
    </row>
    <row r="365" spans="8:9" ht="12.75" customHeight="1" x14ac:dyDescent="0.3">
      <c r="H365" s="366"/>
      <c r="I365" s="366"/>
    </row>
    <row r="366" spans="8:9" ht="12.75" customHeight="1" x14ac:dyDescent="0.3">
      <c r="H366" s="366"/>
      <c r="I366" s="366"/>
    </row>
    <row r="367" spans="8:9" ht="12.75" customHeight="1" x14ac:dyDescent="0.3">
      <c r="H367" s="366"/>
      <c r="I367" s="366"/>
    </row>
    <row r="368" spans="8:9" ht="12.75" customHeight="1" x14ac:dyDescent="0.3">
      <c r="H368" s="366"/>
      <c r="I368" s="366"/>
    </row>
    <row r="369" spans="8:9" ht="12.75" customHeight="1" x14ac:dyDescent="0.3">
      <c r="H369" s="366"/>
      <c r="I369" s="366"/>
    </row>
    <row r="370" spans="8:9" ht="12.75" customHeight="1" x14ac:dyDescent="0.3">
      <c r="H370" s="366"/>
      <c r="I370" s="366"/>
    </row>
    <row r="371" spans="8:9" ht="12.75" customHeight="1" x14ac:dyDescent="0.3">
      <c r="H371" s="366"/>
      <c r="I371" s="366"/>
    </row>
    <row r="372" spans="8:9" ht="12.75" customHeight="1" x14ac:dyDescent="0.3">
      <c r="H372" s="366"/>
      <c r="I372" s="366"/>
    </row>
    <row r="373" spans="8:9" ht="12.75" customHeight="1" x14ac:dyDescent="0.3">
      <c r="H373" s="366"/>
      <c r="I373" s="366"/>
    </row>
    <row r="374" spans="8:9" ht="12.75" customHeight="1" x14ac:dyDescent="0.3">
      <c r="H374" s="366"/>
      <c r="I374" s="366"/>
    </row>
    <row r="375" spans="8:9" ht="12.75" customHeight="1" x14ac:dyDescent="0.3">
      <c r="H375" s="366"/>
      <c r="I375" s="366"/>
    </row>
    <row r="376" spans="8:9" ht="12.75" customHeight="1" x14ac:dyDescent="0.3">
      <c r="H376" s="366"/>
      <c r="I376" s="366"/>
    </row>
    <row r="377" spans="8:9" ht="12.75" customHeight="1" x14ac:dyDescent="0.3">
      <c r="H377" s="366"/>
      <c r="I377" s="366"/>
    </row>
    <row r="378" spans="8:9" ht="12.75" customHeight="1" x14ac:dyDescent="0.3">
      <c r="H378" s="366"/>
      <c r="I378" s="366"/>
    </row>
    <row r="379" spans="8:9" ht="12.75" customHeight="1" x14ac:dyDescent="0.3">
      <c r="H379" s="366"/>
      <c r="I379" s="366"/>
    </row>
    <row r="380" spans="8:9" ht="12.75" customHeight="1" x14ac:dyDescent="0.3">
      <c r="H380" s="366"/>
      <c r="I380" s="366"/>
    </row>
    <row r="381" spans="8:9" ht="12.75" customHeight="1" x14ac:dyDescent="0.3">
      <c r="H381" s="366"/>
      <c r="I381" s="366"/>
    </row>
    <row r="382" spans="8:9" ht="12.75" customHeight="1" x14ac:dyDescent="0.3">
      <c r="H382" s="366"/>
      <c r="I382" s="366"/>
    </row>
    <row r="383" spans="8:9" ht="12.75" customHeight="1" x14ac:dyDescent="0.3">
      <c r="H383" s="366"/>
      <c r="I383" s="366"/>
    </row>
    <row r="384" spans="8:9" ht="12.75" customHeight="1" x14ac:dyDescent="0.3">
      <c r="H384" s="366"/>
      <c r="I384" s="366"/>
    </row>
    <row r="385" spans="8:9" ht="12.75" customHeight="1" x14ac:dyDescent="0.3">
      <c r="H385" s="366"/>
      <c r="I385" s="366"/>
    </row>
    <row r="386" spans="8:9" ht="12.75" customHeight="1" x14ac:dyDescent="0.3">
      <c r="H386" s="366"/>
      <c r="I386" s="366"/>
    </row>
    <row r="387" spans="8:9" ht="12.75" customHeight="1" x14ac:dyDescent="0.3">
      <c r="H387" s="366"/>
      <c r="I387" s="366"/>
    </row>
    <row r="388" spans="8:9" ht="12.75" customHeight="1" x14ac:dyDescent="0.3">
      <c r="H388" s="366"/>
      <c r="I388" s="366"/>
    </row>
    <row r="389" spans="8:9" ht="12.75" customHeight="1" x14ac:dyDescent="0.3">
      <c r="H389" s="366"/>
      <c r="I389" s="366"/>
    </row>
    <row r="390" spans="8:9" ht="12.75" customHeight="1" x14ac:dyDescent="0.3">
      <c r="H390" s="366"/>
      <c r="I390" s="366"/>
    </row>
    <row r="391" spans="8:9" ht="12.75" customHeight="1" x14ac:dyDescent="0.3">
      <c r="H391" s="366"/>
      <c r="I391" s="366"/>
    </row>
    <row r="392" spans="8:9" ht="12.75" customHeight="1" x14ac:dyDescent="0.3">
      <c r="H392" s="366"/>
      <c r="I392" s="366"/>
    </row>
    <row r="393" spans="8:9" ht="12.75" customHeight="1" x14ac:dyDescent="0.3">
      <c r="H393" s="366"/>
      <c r="I393" s="366"/>
    </row>
    <row r="394" spans="8:9" ht="12.75" customHeight="1" x14ac:dyDescent="0.3">
      <c r="H394" s="366"/>
      <c r="I394" s="366"/>
    </row>
    <row r="395" spans="8:9" ht="12.75" customHeight="1" x14ac:dyDescent="0.3">
      <c r="H395" s="366"/>
      <c r="I395" s="366"/>
    </row>
    <row r="396" spans="8:9" ht="12.75" customHeight="1" x14ac:dyDescent="0.3">
      <c r="H396" s="366"/>
      <c r="I396" s="366"/>
    </row>
    <row r="397" spans="8:9" ht="12.75" customHeight="1" x14ac:dyDescent="0.3">
      <c r="H397" s="366"/>
      <c r="I397" s="366"/>
    </row>
    <row r="398" spans="8:9" ht="12.75" customHeight="1" x14ac:dyDescent="0.3">
      <c r="H398" s="366"/>
      <c r="I398" s="366"/>
    </row>
    <row r="399" spans="8:9" ht="12.75" customHeight="1" x14ac:dyDescent="0.3">
      <c r="H399" s="366"/>
      <c r="I399" s="366"/>
    </row>
    <row r="400" spans="8:9" ht="12.75" customHeight="1" x14ac:dyDescent="0.3">
      <c r="H400" s="366"/>
      <c r="I400" s="366"/>
    </row>
    <row r="401" spans="8:9" ht="12.75" customHeight="1" x14ac:dyDescent="0.3">
      <c r="H401" s="366"/>
      <c r="I401" s="366"/>
    </row>
    <row r="402" spans="8:9" ht="12.75" customHeight="1" x14ac:dyDescent="0.3">
      <c r="H402" s="366"/>
      <c r="I402" s="366"/>
    </row>
    <row r="403" spans="8:9" ht="12.75" customHeight="1" x14ac:dyDescent="0.3">
      <c r="H403" s="366"/>
      <c r="I403" s="366"/>
    </row>
    <row r="404" spans="8:9" ht="12.75" customHeight="1" x14ac:dyDescent="0.3">
      <c r="H404" s="366"/>
      <c r="I404" s="366"/>
    </row>
    <row r="405" spans="8:9" ht="12.75" customHeight="1" x14ac:dyDescent="0.3">
      <c r="H405" s="366"/>
      <c r="I405" s="366"/>
    </row>
    <row r="406" spans="8:9" ht="12.75" customHeight="1" x14ac:dyDescent="0.3">
      <c r="H406" s="366"/>
      <c r="I406" s="366"/>
    </row>
    <row r="407" spans="8:9" ht="12.75" customHeight="1" x14ac:dyDescent="0.3">
      <c r="H407" s="366"/>
      <c r="I407" s="366"/>
    </row>
    <row r="408" spans="8:9" ht="12.75" customHeight="1" x14ac:dyDescent="0.3">
      <c r="H408" s="366"/>
      <c r="I408" s="366"/>
    </row>
    <row r="409" spans="8:9" ht="12.75" customHeight="1" x14ac:dyDescent="0.3">
      <c r="H409" s="366"/>
      <c r="I409" s="366"/>
    </row>
    <row r="410" spans="8:9" ht="12.75" customHeight="1" x14ac:dyDescent="0.3">
      <c r="H410" s="366"/>
      <c r="I410" s="366"/>
    </row>
    <row r="411" spans="8:9" ht="12.75" customHeight="1" x14ac:dyDescent="0.3">
      <c r="H411" s="366"/>
      <c r="I411" s="366"/>
    </row>
    <row r="412" spans="8:9" ht="12.75" customHeight="1" x14ac:dyDescent="0.3">
      <c r="H412" s="366"/>
      <c r="I412" s="366"/>
    </row>
    <row r="413" spans="8:9" ht="12.75" customHeight="1" x14ac:dyDescent="0.3">
      <c r="H413" s="366"/>
      <c r="I413" s="366"/>
    </row>
    <row r="414" spans="8:9" ht="12.75" customHeight="1" x14ac:dyDescent="0.3">
      <c r="H414" s="366"/>
      <c r="I414" s="366"/>
    </row>
    <row r="415" spans="8:9" ht="12.75" customHeight="1" x14ac:dyDescent="0.3">
      <c r="H415" s="366"/>
      <c r="I415" s="366"/>
    </row>
    <row r="416" spans="8:9" ht="12.75" customHeight="1" x14ac:dyDescent="0.3">
      <c r="H416" s="366"/>
      <c r="I416" s="366"/>
    </row>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
    <mergeCell ref="B110:D110"/>
    <mergeCell ref="E110:F110"/>
    <mergeCell ref="B183:D183"/>
    <mergeCell ref="B201:D201"/>
    <mergeCell ref="E201:F201"/>
    <mergeCell ref="B128:D128"/>
    <mergeCell ref="E128:F128"/>
    <mergeCell ref="B146:D146"/>
    <mergeCell ref="E146:F146"/>
    <mergeCell ref="B165:D165"/>
    <mergeCell ref="E165:F165"/>
    <mergeCell ref="E183:F183"/>
    <mergeCell ref="E56:F56"/>
    <mergeCell ref="B56:D56"/>
    <mergeCell ref="B74:D74"/>
    <mergeCell ref="E74:F74"/>
    <mergeCell ref="B92:D92"/>
    <mergeCell ref="E92:F92"/>
    <mergeCell ref="B2:D2"/>
    <mergeCell ref="E2:F2"/>
    <mergeCell ref="B20:D20"/>
    <mergeCell ref="E20:F20"/>
    <mergeCell ref="B38:D38"/>
    <mergeCell ref="E38:F38"/>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000"/>
  <sheetViews>
    <sheetView workbookViewId="0"/>
  </sheetViews>
  <sheetFormatPr defaultColWidth="14.3984375" defaultRowHeight="15" customHeight="1" x14ac:dyDescent="0.3"/>
  <cols>
    <col min="1" max="1" width="28.8984375" customWidth="1"/>
    <col min="2" max="2" width="13.296875" customWidth="1"/>
    <col min="3" max="3" width="13" customWidth="1"/>
    <col min="4" max="4" width="13.3984375" customWidth="1"/>
    <col min="5" max="5" width="12.296875" customWidth="1"/>
    <col min="6" max="6" width="12" customWidth="1"/>
    <col min="7" max="7" width="11" customWidth="1"/>
    <col min="8" max="8" width="22.69921875" customWidth="1"/>
    <col min="9" max="9" width="19.59765625" customWidth="1"/>
    <col min="10" max="10" width="15.8984375" customWidth="1"/>
    <col min="11" max="11" width="11.8984375" customWidth="1"/>
    <col min="12" max="12" width="11.59765625" customWidth="1"/>
  </cols>
  <sheetData>
    <row r="1" spans="1:12" ht="12.75" customHeight="1" x14ac:dyDescent="0.3"/>
    <row r="2" spans="1:12" ht="12.75" customHeight="1" x14ac:dyDescent="0.3">
      <c r="A2" s="412" t="s">
        <v>472</v>
      </c>
      <c r="B2" s="612" t="s">
        <v>547</v>
      </c>
      <c r="C2" s="546"/>
      <c r="D2" s="534"/>
      <c r="E2" s="612" t="s">
        <v>437</v>
      </c>
      <c r="F2" s="534"/>
      <c r="G2" s="447" t="s">
        <v>438</v>
      </c>
      <c r="H2" s="366"/>
      <c r="I2" s="369"/>
      <c r="J2" s="366"/>
    </row>
    <row r="3" spans="1:12" ht="12.75" customHeight="1" x14ac:dyDescent="0.3">
      <c r="A3" s="412"/>
      <c r="B3" s="414">
        <v>2019</v>
      </c>
      <c r="C3" s="414">
        <v>2020</v>
      </c>
      <c r="D3" s="414">
        <v>2021</v>
      </c>
      <c r="E3" s="414">
        <v>2020</v>
      </c>
      <c r="F3" s="414">
        <v>2021</v>
      </c>
      <c r="G3" s="414" t="s">
        <v>521</v>
      </c>
      <c r="H3" s="366"/>
      <c r="I3" s="366"/>
      <c r="J3" s="366"/>
    </row>
    <row r="4" spans="1:12" ht="12.75" customHeight="1" x14ac:dyDescent="0.3">
      <c r="A4" s="374" t="s">
        <v>165</v>
      </c>
      <c r="B4" s="420"/>
      <c r="C4" s="420"/>
      <c r="D4" s="420"/>
      <c r="E4" s="421" t="str">
        <f t="shared" ref="E4:F4" si="0">IFERROR(C4/B4-1,"")</f>
        <v/>
      </c>
      <c r="F4" s="421" t="str">
        <f t="shared" si="0"/>
        <v/>
      </c>
      <c r="G4" s="421" t="str">
        <f t="shared" ref="G4:G9" si="1">IFERROR(((D4/B4)^(1/2)-1),"")</f>
        <v/>
      </c>
      <c r="H4" s="366"/>
      <c r="I4" s="380"/>
      <c r="J4" s="406" t="s">
        <v>502</v>
      </c>
      <c r="K4" s="406"/>
    </row>
    <row r="5" spans="1:12" ht="12.75" customHeight="1" x14ac:dyDescent="0.3">
      <c r="A5" s="374" t="s">
        <v>166</v>
      </c>
      <c r="B5" s="420"/>
      <c r="C5" s="420"/>
      <c r="D5" s="420"/>
      <c r="E5" s="421" t="str">
        <f t="shared" ref="E5:F5" si="2">IFERROR(C5/B5-1,"")</f>
        <v/>
      </c>
      <c r="F5" s="421" t="str">
        <f t="shared" si="2"/>
        <v/>
      </c>
      <c r="G5" s="421" t="str">
        <f t="shared" si="1"/>
        <v/>
      </c>
      <c r="H5" s="366"/>
      <c r="I5" s="366"/>
      <c r="J5" s="406" t="s">
        <v>506</v>
      </c>
      <c r="K5" s="406"/>
    </row>
    <row r="6" spans="1:12" ht="12.75" customHeight="1" x14ac:dyDescent="0.3">
      <c r="A6" s="374" t="s">
        <v>172</v>
      </c>
      <c r="B6" s="420"/>
      <c r="C6" s="420"/>
      <c r="D6" s="420"/>
      <c r="E6" s="421" t="str">
        <f t="shared" ref="E6:F6" si="3">IFERROR(C6/B6-1,"")</f>
        <v/>
      </c>
      <c r="F6" s="421" t="str">
        <f t="shared" si="3"/>
        <v/>
      </c>
      <c r="G6" s="421" t="str">
        <f t="shared" si="1"/>
        <v/>
      </c>
      <c r="H6" s="366"/>
      <c r="I6" s="366"/>
      <c r="J6" s="366" t="s">
        <v>501</v>
      </c>
      <c r="K6" s="406"/>
    </row>
    <row r="7" spans="1:12" ht="12.75" customHeight="1" x14ac:dyDescent="0.3">
      <c r="A7" s="374" t="s">
        <v>173</v>
      </c>
      <c r="B7" s="420"/>
      <c r="C7" s="420"/>
      <c r="D7" s="420"/>
      <c r="E7" s="421" t="str">
        <f t="shared" ref="E7:F7" si="4">IFERROR(C7/B7-1,"")</f>
        <v/>
      </c>
      <c r="F7" s="421" t="str">
        <f t="shared" si="4"/>
        <v/>
      </c>
      <c r="G7" s="421" t="str">
        <f t="shared" si="1"/>
        <v/>
      </c>
      <c r="H7" s="366"/>
      <c r="I7" s="366"/>
      <c r="J7" s="406" t="s">
        <v>505</v>
      </c>
      <c r="K7" s="406"/>
    </row>
    <row r="8" spans="1:12" ht="12.75" customHeight="1" x14ac:dyDescent="0.3">
      <c r="A8" s="374" t="s">
        <v>175</v>
      </c>
      <c r="B8" s="420"/>
      <c r="C8" s="420"/>
      <c r="D8" s="420"/>
      <c r="E8" s="421" t="str">
        <f t="shared" ref="E8:F8" si="5">IFERROR(C8/B8-1,"")</f>
        <v/>
      </c>
      <c r="F8" s="421" t="str">
        <f t="shared" si="5"/>
        <v/>
      </c>
      <c r="G8" s="421" t="str">
        <f t="shared" si="1"/>
        <v/>
      </c>
      <c r="H8" s="366"/>
      <c r="I8" s="366"/>
      <c r="J8" s="366"/>
      <c r="K8" s="406"/>
    </row>
    <row r="9" spans="1:12" ht="12.75" customHeight="1" x14ac:dyDescent="0.3">
      <c r="A9" s="377" t="s">
        <v>443</v>
      </c>
      <c r="B9" s="425">
        <f t="shared" ref="B9:D9" si="6">SUM(B4:B8)</f>
        <v>0</v>
      </c>
      <c r="C9" s="425">
        <f t="shared" si="6"/>
        <v>0</v>
      </c>
      <c r="D9" s="425">
        <f t="shared" si="6"/>
        <v>0</v>
      </c>
      <c r="E9" s="456" t="str">
        <f t="shared" ref="E9:F9" si="7">IFERROR(C9/B9-1,"")</f>
        <v/>
      </c>
      <c r="F9" s="456" t="str">
        <f t="shared" si="7"/>
        <v/>
      </c>
      <c r="G9" s="456" t="str">
        <f t="shared" si="1"/>
        <v/>
      </c>
      <c r="H9" s="366"/>
      <c r="I9" s="366"/>
      <c r="J9" s="366"/>
      <c r="K9" s="406"/>
    </row>
    <row r="10" spans="1:12" ht="12.75" customHeight="1" x14ac:dyDescent="0.3">
      <c r="B10" s="375"/>
      <c r="C10" s="375"/>
      <c r="D10" s="375"/>
      <c r="H10" s="366"/>
      <c r="I10" s="366"/>
      <c r="J10" s="366"/>
      <c r="K10" s="406"/>
    </row>
    <row r="11" spans="1:12" ht="12.75" customHeight="1" x14ac:dyDescent="0.3">
      <c r="B11" s="388"/>
      <c r="H11" s="366"/>
      <c r="I11" s="366"/>
      <c r="J11" s="366"/>
      <c r="K11" s="406"/>
    </row>
    <row r="12" spans="1:12" ht="12.75" customHeight="1" x14ac:dyDescent="0.3">
      <c r="A12" s="412" t="s">
        <v>472</v>
      </c>
      <c r="B12" s="612" t="s">
        <v>446</v>
      </c>
      <c r="C12" s="546"/>
      <c r="D12" s="534"/>
      <c r="E12" s="612" t="s">
        <v>437</v>
      </c>
      <c r="F12" s="534"/>
      <c r="G12" s="447" t="s">
        <v>438</v>
      </c>
      <c r="H12" s="448"/>
      <c r="I12" s="448"/>
      <c r="J12" s="448"/>
      <c r="K12" s="406"/>
      <c r="L12" s="448"/>
    </row>
    <row r="13" spans="1:12" ht="12.75" customHeight="1" x14ac:dyDescent="0.3">
      <c r="A13" s="412"/>
      <c r="B13" s="414">
        <v>2019</v>
      </c>
      <c r="C13" s="414">
        <v>2020</v>
      </c>
      <c r="D13" s="414">
        <v>2021</v>
      </c>
      <c r="E13" s="414">
        <v>2020</v>
      </c>
      <c r="F13" s="414">
        <v>2021</v>
      </c>
      <c r="G13" s="414" t="s">
        <v>521</v>
      </c>
      <c r="H13" s="448" t="s">
        <v>548</v>
      </c>
      <c r="I13" s="449"/>
      <c r="J13" s="448"/>
      <c r="K13" s="406"/>
      <c r="L13" s="448"/>
    </row>
    <row r="14" spans="1:12" ht="13" x14ac:dyDescent="0.3">
      <c r="A14" s="374" t="s">
        <v>165</v>
      </c>
      <c r="B14" s="420">
        <f>'Stryker Data(19-21)'!C92</f>
        <v>3211</v>
      </c>
      <c r="C14" s="470">
        <f>'Stryker Data(19-21)'!C101</f>
        <v>2234</v>
      </c>
      <c r="D14" s="420">
        <f>'Stryker Data(19-21)'!C110</f>
        <v>2031</v>
      </c>
      <c r="E14" s="421">
        <f t="shared" ref="E14:F14" si="8">IFERROR(C14/B14-1,"")</f>
        <v>-0.30426658361881032</v>
      </c>
      <c r="F14" s="421">
        <f t="shared" si="8"/>
        <v>-9.0868397493285569E-2</v>
      </c>
      <c r="G14" s="421">
        <f t="shared" ref="G14:G19" si="9">IFERROR(((D14/B14)^(1/2)-1),"")</f>
        <v>-0.20469299276813724</v>
      </c>
      <c r="H14" s="613" t="s">
        <v>549</v>
      </c>
      <c r="I14" s="614" t="s">
        <v>550</v>
      </c>
      <c r="J14" s="451"/>
      <c r="K14" s="406"/>
      <c r="L14" s="423"/>
    </row>
    <row r="15" spans="1:12" ht="12.75" customHeight="1" x14ac:dyDescent="0.3">
      <c r="A15" s="374" t="s">
        <v>166</v>
      </c>
      <c r="B15" s="420">
        <f>'Stryker Data(19-21)'!C93</f>
        <v>158</v>
      </c>
      <c r="C15" s="470">
        <f>'Stryker Data(19-21)'!C102</f>
        <v>286</v>
      </c>
      <c r="D15" s="420">
        <f>'Stryker Data(19-21)'!C111</f>
        <v>475</v>
      </c>
      <c r="E15" s="421">
        <f t="shared" ref="E15:F15" si="10">IFERROR(C15/B15-1,"")</f>
        <v>0.81012658227848111</v>
      </c>
      <c r="F15" s="421">
        <f t="shared" si="10"/>
        <v>0.66083916083916083</v>
      </c>
      <c r="G15" s="421">
        <f t="shared" si="9"/>
        <v>0.73387690275983863</v>
      </c>
      <c r="H15" s="536"/>
      <c r="I15" s="536"/>
      <c r="J15" s="451"/>
      <c r="K15" s="406"/>
      <c r="L15" s="423"/>
    </row>
    <row r="16" spans="1:12" ht="12.75" customHeight="1" x14ac:dyDescent="0.3">
      <c r="A16" s="374" t="s">
        <v>172</v>
      </c>
      <c r="B16" s="420">
        <f>'Stryker Data(19-21)'!C94</f>
        <v>1264</v>
      </c>
      <c r="C16" s="470">
        <f>'Stryker Data(19-21)'!C103</f>
        <v>1040</v>
      </c>
      <c r="D16" s="420">
        <f>'Stryker Data(19-21)'!C112</f>
        <v>1270</v>
      </c>
      <c r="E16" s="421">
        <f t="shared" ref="E16:F16" si="11">IFERROR(C16/B16-1,"")</f>
        <v>-0.17721518987341767</v>
      </c>
      <c r="F16" s="421">
        <f t="shared" si="11"/>
        <v>0.22115384615384626</v>
      </c>
      <c r="G16" s="421">
        <f t="shared" si="9"/>
        <v>2.3706078307752509E-3</v>
      </c>
      <c r="H16" s="536"/>
      <c r="I16" s="536"/>
      <c r="J16" s="422"/>
      <c r="K16" s="406"/>
      <c r="L16" s="423"/>
    </row>
    <row r="17" spans="1:12" ht="12.75" customHeight="1" x14ac:dyDescent="0.3">
      <c r="A17" s="374" t="s">
        <v>173</v>
      </c>
      <c r="B17" s="420">
        <f>'Stryker Data(19-21)'!C95</f>
        <v>120</v>
      </c>
      <c r="C17" s="470">
        <f>'Stryker Data(19-21)'!C104</f>
        <v>68</v>
      </c>
      <c r="D17" s="420">
        <f>'Stryker Data(19-21)'!C113</f>
        <v>58</v>
      </c>
      <c r="E17" s="421">
        <f t="shared" ref="E17:F17" si="12">IFERROR(C17/B17-1,"")</f>
        <v>-0.43333333333333335</v>
      </c>
      <c r="F17" s="421">
        <f t="shared" si="12"/>
        <v>-0.1470588235294118</v>
      </c>
      <c r="G17" s="421">
        <f t="shared" si="9"/>
        <v>-0.304778212846193</v>
      </c>
      <c r="H17" s="536"/>
      <c r="I17" s="536"/>
      <c r="J17" s="422"/>
      <c r="K17" s="406"/>
      <c r="L17" s="423"/>
    </row>
    <row r="18" spans="1:12" ht="12.75" customHeight="1" x14ac:dyDescent="0.3">
      <c r="A18" s="374" t="s">
        <v>175</v>
      </c>
      <c r="B18" s="420">
        <f>'Stryker Data(19-21)'!C96</f>
        <v>0</v>
      </c>
      <c r="C18" s="470">
        <f>'Stryker Data(19-21)'!C105</f>
        <v>0</v>
      </c>
      <c r="D18" s="420">
        <f>'Stryker Data(19-21)'!C114</f>
        <v>0</v>
      </c>
      <c r="E18" s="421" t="str">
        <f t="shared" ref="E18:F18" si="13">IFERROR(C18/B18-1,"")</f>
        <v/>
      </c>
      <c r="F18" s="421" t="str">
        <f t="shared" si="13"/>
        <v/>
      </c>
      <c r="G18" s="421" t="str">
        <f t="shared" si="9"/>
        <v/>
      </c>
      <c r="H18" s="536"/>
      <c r="I18" s="536"/>
      <c r="J18" s="422"/>
      <c r="K18" s="406"/>
      <c r="L18" s="423"/>
    </row>
    <row r="19" spans="1:12" ht="12.75" customHeight="1" x14ac:dyDescent="0.3">
      <c r="A19" s="377" t="s">
        <v>443</v>
      </c>
      <c r="B19" s="425">
        <f t="shared" ref="B19:D19" si="14">SUM(B14:B18)</f>
        <v>4753</v>
      </c>
      <c r="C19" s="425">
        <f t="shared" si="14"/>
        <v>3628</v>
      </c>
      <c r="D19" s="425">
        <f t="shared" si="14"/>
        <v>3834</v>
      </c>
      <c r="E19" s="456">
        <f t="shared" ref="E19:F19" si="15">IFERROR(C19/B19-1,"")</f>
        <v>-0.23669261519040607</v>
      </c>
      <c r="F19" s="456">
        <f t="shared" si="15"/>
        <v>5.6780595369349429E-2</v>
      </c>
      <c r="G19" s="456">
        <f t="shared" si="9"/>
        <v>-0.10186391199946554</v>
      </c>
      <c r="H19" s="471"/>
      <c r="I19" s="471"/>
      <c r="J19" s="471"/>
      <c r="K19" s="428"/>
      <c r="L19" s="428"/>
    </row>
    <row r="20" spans="1:12" ht="12.75" customHeight="1" x14ac:dyDescent="0.3"/>
    <row r="21" spans="1:12" ht="12.75" customHeight="1" x14ac:dyDescent="0.3">
      <c r="A21" s="412" t="s">
        <v>472</v>
      </c>
      <c r="B21" s="612" t="s">
        <v>535</v>
      </c>
      <c r="C21" s="546"/>
      <c r="D21" s="534"/>
      <c r="E21" s="612" t="s">
        <v>437</v>
      </c>
      <c r="F21" s="534"/>
      <c r="G21" s="447" t="s">
        <v>438</v>
      </c>
    </row>
    <row r="22" spans="1:12" ht="12.75" customHeight="1" x14ac:dyDescent="0.3">
      <c r="A22" s="412"/>
      <c r="B22" s="414">
        <v>2019</v>
      </c>
      <c r="C22" s="414">
        <v>2020</v>
      </c>
      <c r="D22" s="414">
        <v>2021</v>
      </c>
      <c r="E22" s="414">
        <v>2020</v>
      </c>
      <c r="F22" s="414">
        <v>2021</v>
      </c>
      <c r="G22" s="414" t="s">
        <v>521</v>
      </c>
    </row>
    <row r="23" spans="1:12" ht="12.75" customHeight="1" x14ac:dyDescent="0.3">
      <c r="A23" s="374" t="s">
        <v>165</v>
      </c>
      <c r="B23" s="420">
        <f>'Stryker Data(19-21)'!E92</f>
        <v>6294</v>
      </c>
      <c r="C23" s="470">
        <f>'Stryker Data(19-21)'!E101</f>
        <v>4520</v>
      </c>
      <c r="D23" s="420">
        <f>'Stryker Data(19-21)'!E110</f>
        <v>4838</v>
      </c>
      <c r="E23" s="421">
        <f t="shared" ref="E23:F23" si="16">IFERROR(C23/B23-1,"")</f>
        <v>-0.28185573562122657</v>
      </c>
      <c r="F23" s="421">
        <f t="shared" si="16"/>
        <v>7.0353982300884965E-2</v>
      </c>
      <c r="G23" s="421">
        <f t="shared" ref="G23:G28" si="17">IFERROR(((D23/B23)^(1/2)-1),"")</f>
        <v>-0.12326254029820327</v>
      </c>
    </row>
    <row r="24" spans="1:12" ht="12.75" customHeight="1" x14ac:dyDescent="0.3">
      <c r="A24" s="374" t="s">
        <v>166</v>
      </c>
      <c r="B24" s="420">
        <f>'Stryker Data(19-21)'!E93</f>
        <v>463</v>
      </c>
      <c r="C24" s="470">
        <f>'Stryker Data(19-21)'!E102</f>
        <v>507</v>
      </c>
      <c r="D24" s="420">
        <f>'Stryker Data(19-21)'!E111</f>
        <v>531</v>
      </c>
      <c r="E24" s="421">
        <f t="shared" ref="E24:F24" si="18">IFERROR(C24/B24-1,"")</f>
        <v>9.5032397408207236E-2</v>
      </c>
      <c r="F24" s="421">
        <f t="shared" si="18"/>
        <v>4.7337278106508895E-2</v>
      </c>
      <c r="G24" s="421">
        <f t="shared" si="17"/>
        <v>7.0919348289102846E-2</v>
      </c>
    </row>
    <row r="25" spans="1:12" ht="12.75" customHeight="1" x14ac:dyDescent="0.3">
      <c r="A25" s="374" t="s">
        <v>172</v>
      </c>
      <c r="B25" s="420">
        <f>'Stryker Data(19-21)'!E94</f>
        <v>2179</v>
      </c>
      <c r="C25" s="470">
        <f>'Stryker Data(19-21)'!E103</f>
        <v>1900</v>
      </c>
      <c r="D25" s="420">
        <f>'Stryker Data(19-21)'!E112</f>
        <v>1346</v>
      </c>
      <c r="E25" s="421">
        <f t="shared" ref="E25:F25" si="19">IFERROR(C25/B25-1,"")</f>
        <v>-0.12804038549793484</v>
      </c>
      <c r="F25" s="421">
        <f t="shared" si="19"/>
        <v>-0.29157894736842105</v>
      </c>
      <c r="G25" s="421">
        <f t="shared" si="17"/>
        <v>-0.21405181598417133</v>
      </c>
    </row>
    <row r="26" spans="1:12" ht="12.75" customHeight="1" x14ac:dyDescent="0.3">
      <c r="A26" s="374" t="s">
        <v>173</v>
      </c>
      <c r="B26" s="420">
        <f>'Stryker Data(19-21)'!E95</f>
        <v>167</v>
      </c>
      <c r="C26" s="470">
        <f>'Stryker Data(19-21)'!E104</f>
        <v>140</v>
      </c>
      <c r="D26" s="420">
        <f>'Stryker Data(19-21)'!E113</f>
        <v>188</v>
      </c>
      <c r="E26" s="421">
        <f t="shared" ref="E26:F26" si="20">IFERROR(C26/B26-1,"")</f>
        <v>-0.16167664670658688</v>
      </c>
      <c r="F26" s="421">
        <f t="shared" si="20"/>
        <v>0.34285714285714275</v>
      </c>
      <c r="G26" s="421">
        <f t="shared" si="17"/>
        <v>6.1012960803972449E-2</v>
      </c>
    </row>
    <row r="27" spans="1:12" ht="12.75" customHeight="1" x14ac:dyDescent="0.3">
      <c r="A27" s="374" t="s">
        <v>175</v>
      </c>
      <c r="B27" s="420">
        <f>'Stryker Data(19-21)'!E96</f>
        <v>0</v>
      </c>
      <c r="C27" s="470">
        <f>'Stryker Data(19-21)'!E105</f>
        <v>7</v>
      </c>
      <c r="D27" s="420">
        <f>'Stryker Data(19-21)'!E114</f>
        <v>37</v>
      </c>
      <c r="E27" s="421" t="str">
        <f t="shared" ref="E27:F27" si="21">IFERROR(C27/B27-1,"")</f>
        <v/>
      </c>
      <c r="F27" s="421">
        <f t="shared" si="21"/>
        <v>4.2857142857142856</v>
      </c>
      <c r="G27" s="421" t="str">
        <f t="shared" si="17"/>
        <v/>
      </c>
    </row>
    <row r="28" spans="1:12" ht="12.75" customHeight="1" x14ac:dyDescent="0.3">
      <c r="A28" s="377" t="s">
        <v>443</v>
      </c>
      <c r="B28" s="425">
        <f t="shared" ref="B28:D28" si="22">SUM(B23:B27)</f>
        <v>9103</v>
      </c>
      <c r="C28" s="425">
        <f t="shared" si="22"/>
        <v>7074</v>
      </c>
      <c r="D28" s="425">
        <f t="shared" si="22"/>
        <v>6940</v>
      </c>
      <c r="E28" s="456">
        <f t="shared" ref="E28:F28" si="23">IFERROR(C28/B28-1,"")</f>
        <v>-0.22289355157640334</v>
      </c>
      <c r="F28" s="456">
        <f t="shared" si="23"/>
        <v>-1.8942606728866274E-2</v>
      </c>
      <c r="G28" s="456">
        <f t="shared" si="17"/>
        <v>-0.12685280359801743</v>
      </c>
    </row>
    <row r="29" spans="1:12" ht="12.75" customHeight="1" x14ac:dyDescent="0.3"/>
    <row r="30" spans="1:12" ht="12.75" customHeight="1" x14ac:dyDescent="0.3">
      <c r="A30" s="412" t="s">
        <v>472</v>
      </c>
      <c r="B30" s="612" t="s">
        <v>551</v>
      </c>
      <c r="C30" s="546"/>
      <c r="D30" s="534"/>
      <c r="E30" s="612" t="s">
        <v>437</v>
      </c>
      <c r="F30" s="534"/>
      <c r="G30" s="447" t="s">
        <v>438</v>
      </c>
    </row>
    <row r="31" spans="1:12" ht="12.75" customHeight="1" x14ac:dyDescent="0.3">
      <c r="A31" s="412"/>
      <c r="B31" s="414">
        <v>2019</v>
      </c>
      <c r="C31" s="414">
        <v>2020</v>
      </c>
      <c r="D31" s="414">
        <v>2021</v>
      </c>
      <c r="E31" s="414">
        <v>2020</v>
      </c>
      <c r="F31" s="414">
        <v>2021</v>
      </c>
      <c r="G31" s="414" t="s">
        <v>521</v>
      </c>
    </row>
    <row r="32" spans="1:12" ht="12.75" customHeight="1" x14ac:dyDescent="0.3">
      <c r="A32" s="374" t="s">
        <v>165</v>
      </c>
      <c r="B32" s="420">
        <f>'Stryker Data(19-21)'!H92</f>
        <v>400425</v>
      </c>
      <c r="C32" s="470">
        <f>'Stryker Data(19-21)'!H101</f>
        <v>257715</v>
      </c>
      <c r="D32" s="420">
        <f>'Stryker Data(19-21)'!H110</f>
        <v>188251</v>
      </c>
      <c r="E32" s="421">
        <f t="shared" ref="E32:F32" si="24">IFERROR(C32/B32-1,"")</f>
        <v>-0.35639632890054318</v>
      </c>
      <c r="F32" s="421">
        <f t="shared" si="24"/>
        <v>-0.26953805560405875</v>
      </c>
      <c r="G32" s="421">
        <f t="shared" ref="G32:G37" si="25">IFERROR(((D32/B32)^(1/2)-1),"")</f>
        <v>-0.31434120073342964</v>
      </c>
    </row>
    <row r="33" spans="1:7" ht="12.75" customHeight="1" x14ac:dyDescent="0.3">
      <c r="A33" s="374" t="s">
        <v>166</v>
      </c>
      <c r="B33" s="420">
        <f>'Stryker Data(19-21)'!H93</f>
        <v>170781</v>
      </c>
      <c r="C33" s="470">
        <f>'Stryker Data(19-21)'!H102</f>
        <v>367675</v>
      </c>
      <c r="D33" s="420">
        <f>'Stryker Data(19-21)'!H111</f>
        <v>704145</v>
      </c>
      <c r="E33" s="421">
        <f t="shared" ref="E33:F33" si="26">IFERROR(C33/B33-1,"")</f>
        <v>1.1529034260251434</v>
      </c>
      <c r="F33" s="421">
        <f t="shared" si="26"/>
        <v>0.91512885020738421</v>
      </c>
      <c r="G33" s="421">
        <f t="shared" si="25"/>
        <v>1.0305387124827421</v>
      </c>
    </row>
    <row r="34" spans="1:7" ht="12.75" customHeight="1" x14ac:dyDescent="0.3">
      <c r="A34" s="374" t="s">
        <v>172</v>
      </c>
      <c r="B34" s="420">
        <f>'Stryker Data(19-21)'!H94</f>
        <v>154578</v>
      </c>
      <c r="C34" s="470">
        <f>'Stryker Data(19-21)'!H103</f>
        <v>127073</v>
      </c>
      <c r="D34" s="420">
        <f>'Stryker Data(19-21)'!H112</f>
        <v>146004</v>
      </c>
      <c r="E34" s="421">
        <f t="shared" ref="E34:F34" si="27">IFERROR(C34/B34-1,"")</f>
        <v>-0.17793605817127922</v>
      </c>
      <c r="F34" s="421">
        <f t="shared" si="27"/>
        <v>0.14897735947054058</v>
      </c>
      <c r="G34" s="421">
        <f t="shared" si="25"/>
        <v>-2.8129197270384321E-2</v>
      </c>
    </row>
    <row r="35" spans="1:7" ht="12.75" customHeight="1" x14ac:dyDescent="0.3">
      <c r="A35" s="374" t="s">
        <v>173</v>
      </c>
      <c r="B35" s="420">
        <f>'Stryker Data(19-21)'!H95</f>
        <v>65310</v>
      </c>
      <c r="C35" s="470">
        <f>'Stryker Data(19-21)'!H104</f>
        <v>36500</v>
      </c>
      <c r="D35" s="420">
        <f>'Stryker Data(19-21)'!H113</f>
        <v>28870</v>
      </c>
      <c r="E35" s="421">
        <f t="shared" ref="E35:F35" si="28">IFERROR(C35/B35-1,"")</f>
        <v>-0.44112693308834783</v>
      </c>
      <c r="F35" s="421">
        <f t="shared" si="28"/>
        <v>-0.20904109589041098</v>
      </c>
      <c r="G35" s="421">
        <f t="shared" si="25"/>
        <v>-0.33513487943733633</v>
      </c>
    </row>
    <row r="36" spans="1:7" ht="12.75" customHeight="1" x14ac:dyDescent="0.3">
      <c r="A36" s="374" t="s">
        <v>175</v>
      </c>
      <c r="B36" s="420">
        <f>'Stryker Data(19-21)'!H96</f>
        <v>0</v>
      </c>
      <c r="C36" s="470">
        <f>'Stryker Data(19-21)'!H105</f>
        <v>0</v>
      </c>
      <c r="D36" s="420">
        <f>'Stryker Data(19-21)'!H114</f>
        <v>0</v>
      </c>
      <c r="E36" s="421" t="str">
        <f t="shared" ref="E36:F36" si="29">IFERROR(C36/B36-1,"")</f>
        <v/>
      </c>
      <c r="F36" s="421" t="str">
        <f t="shared" si="29"/>
        <v/>
      </c>
      <c r="G36" s="421" t="str">
        <f t="shared" si="25"/>
        <v/>
      </c>
    </row>
    <row r="37" spans="1:7" ht="12.75" customHeight="1" x14ac:dyDescent="0.3">
      <c r="A37" s="377" t="s">
        <v>443</v>
      </c>
      <c r="B37" s="425">
        <f t="shared" ref="B37:D37" si="30">SUM(B32:B36)</f>
        <v>791094</v>
      </c>
      <c r="C37" s="425">
        <f t="shared" si="30"/>
        <v>788963</v>
      </c>
      <c r="D37" s="425">
        <f t="shared" si="30"/>
        <v>1067270</v>
      </c>
      <c r="E37" s="456">
        <f t="shared" ref="E37:F37" si="31">IFERROR(C37/B37-1,"")</f>
        <v>-2.6937380387159759E-3</v>
      </c>
      <c r="F37" s="456">
        <f t="shared" si="31"/>
        <v>0.35275038246406987</v>
      </c>
      <c r="G37" s="456">
        <f t="shared" si="25"/>
        <v>0.16151040774585357</v>
      </c>
    </row>
    <row r="38" spans="1:7" ht="12.75" customHeight="1" x14ac:dyDescent="0.3"/>
    <row r="39" spans="1:7" ht="12.75" customHeight="1" x14ac:dyDescent="0.3">
      <c r="A39" s="412" t="s">
        <v>472</v>
      </c>
      <c r="B39" s="612" t="s">
        <v>552</v>
      </c>
      <c r="C39" s="546"/>
      <c r="D39" s="534"/>
      <c r="E39" s="612" t="s">
        <v>437</v>
      </c>
      <c r="F39" s="534"/>
      <c r="G39" s="447" t="s">
        <v>438</v>
      </c>
    </row>
    <row r="40" spans="1:7" ht="12.75" customHeight="1" x14ac:dyDescent="0.3">
      <c r="A40" s="412"/>
      <c r="B40" s="414">
        <v>2019</v>
      </c>
      <c r="C40" s="414">
        <v>2020</v>
      </c>
      <c r="D40" s="414">
        <v>2021</v>
      </c>
      <c r="E40" s="414">
        <v>2020</v>
      </c>
      <c r="F40" s="414">
        <v>2021</v>
      </c>
      <c r="G40" s="414" t="s">
        <v>521</v>
      </c>
    </row>
    <row r="41" spans="1:7" ht="12.75" customHeight="1" x14ac:dyDescent="0.3">
      <c r="A41" s="374" t="s">
        <v>165</v>
      </c>
      <c r="B41" s="420">
        <f>'Stryker Data(19-21)'!I92</f>
        <v>653789</v>
      </c>
      <c r="C41" s="470">
        <f>'Stryker Data(19-21)'!I101</f>
        <v>443051</v>
      </c>
      <c r="D41" s="420">
        <f>'Stryker Data(19-21)'!I110</f>
        <v>328800</v>
      </c>
      <c r="E41" s="421">
        <f t="shared" ref="E41:F41" si="32">IFERROR(C41/B41-1,"")</f>
        <v>-0.32233335219772741</v>
      </c>
      <c r="F41" s="421">
        <f t="shared" si="32"/>
        <v>-0.25787324709796389</v>
      </c>
      <c r="G41" s="421">
        <f t="shared" ref="G41:G45" si="33">IFERROR(((D41/B41)^(1/2)-1),"")</f>
        <v>-0.2908353161052728</v>
      </c>
    </row>
    <row r="42" spans="1:7" ht="12.75" customHeight="1" x14ac:dyDescent="0.3">
      <c r="A42" s="374" t="s">
        <v>166</v>
      </c>
      <c r="B42" s="420">
        <f>'Stryker Data(19-21)'!I93</f>
        <v>228725</v>
      </c>
      <c r="C42" s="470">
        <f>'Stryker Data(19-21)'!I102</f>
        <v>284954</v>
      </c>
      <c r="D42" s="420">
        <f>'Stryker Data(19-21)'!I111</f>
        <v>298543</v>
      </c>
      <c r="E42" s="421">
        <f t="shared" ref="E42:F42" si="34">IFERROR(C42/B42-1,"")</f>
        <v>0.24583670346485964</v>
      </c>
      <c r="F42" s="421">
        <f t="shared" si="34"/>
        <v>4.7688398829284662E-2</v>
      </c>
      <c r="G42" s="421">
        <f t="shared" si="33"/>
        <v>0.14247479668299601</v>
      </c>
    </row>
    <row r="43" spans="1:7" ht="12.75" customHeight="1" x14ac:dyDescent="0.3">
      <c r="A43" s="374" t="s">
        <v>172</v>
      </c>
      <c r="B43" s="420">
        <f>'Stryker Data(19-21)'!I94</f>
        <v>183519</v>
      </c>
      <c r="C43" s="470">
        <f>'Stryker Data(19-21)'!I103</f>
        <v>178052</v>
      </c>
      <c r="D43" s="420">
        <f>'Stryker Data(19-21)'!I112</f>
        <v>171354</v>
      </c>
      <c r="E43" s="421">
        <f t="shared" ref="E43:F43" si="35">IFERROR(C43/B43-1,"")</f>
        <v>-2.9789831025670344E-2</v>
      </c>
      <c r="F43" s="421">
        <f t="shared" si="35"/>
        <v>-3.7618223889650193E-2</v>
      </c>
      <c r="G43" s="421">
        <f t="shared" si="33"/>
        <v>-3.3711955151137118E-2</v>
      </c>
    </row>
    <row r="44" spans="1:7" ht="12.75" customHeight="1" x14ac:dyDescent="0.3">
      <c r="A44" s="374" t="s">
        <v>173</v>
      </c>
      <c r="B44" s="420">
        <f>'Stryker Data(19-21)'!I95</f>
        <v>42090</v>
      </c>
      <c r="C44" s="470">
        <f>'Stryker Data(19-21)'!I104</f>
        <v>24360</v>
      </c>
      <c r="D44" s="420">
        <f>'Stryker Data(19-21)'!I113</f>
        <v>20355</v>
      </c>
      <c r="E44" s="421">
        <f t="shared" ref="E44:F44" si="36">IFERROR(C44/B44-1,"")</f>
        <v>-0.42124019957234493</v>
      </c>
      <c r="F44" s="421">
        <f t="shared" si="36"/>
        <v>-0.16440886699507384</v>
      </c>
      <c r="G44" s="421">
        <f t="shared" si="33"/>
        <v>-0.30458173925539667</v>
      </c>
    </row>
    <row r="45" spans="1:7" ht="12.75" customHeight="1" x14ac:dyDescent="0.3">
      <c r="A45" s="374" t="s">
        <v>175</v>
      </c>
      <c r="B45" s="420">
        <f>'Stryker Data(19-21)'!I96</f>
        <v>0</v>
      </c>
      <c r="C45" s="470">
        <f>'Stryker Data(19-21)'!I105</f>
        <v>0</v>
      </c>
      <c r="D45" s="420">
        <f>'Stryker Data(19-21)'!I114</f>
        <v>0</v>
      </c>
      <c r="E45" s="421" t="str">
        <f t="shared" ref="E45:F45" si="37">IFERROR(C45/B45-1,"")</f>
        <v/>
      </c>
      <c r="F45" s="421" t="str">
        <f t="shared" si="37"/>
        <v/>
      </c>
      <c r="G45" s="421" t="str">
        <f t="shared" si="33"/>
        <v/>
      </c>
    </row>
    <row r="46" spans="1:7" ht="12.75" customHeight="1" x14ac:dyDescent="0.3">
      <c r="A46" s="377" t="s">
        <v>443</v>
      </c>
      <c r="B46" s="425"/>
      <c r="C46" s="425"/>
      <c r="D46" s="425"/>
      <c r="E46" s="456"/>
      <c r="F46" s="456"/>
      <c r="G46" s="456"/>
    </row>
    <row r="47" spans="1:7" ht="12.75" customHeight="1" x14ac:dyDescent="0.3"/>
    <row r="48" spans="1:7" ht="12.75" customHeight="1" x14ac:dyDescent="0.3">
      <c r="A48" s="469" t="s">
        <v>553</v>
      </c>
      <c r="B48" s="612" t="s">
        <v>462</v>
      </c>
      <c r="C48" s="546"/>
      <c r="D48" s="534"/>
      <c r="E48" s="612" t="s">
        <v>437</v>
      </c>
      <c r="F48" s="534"/>
      <c r="G48" s="447" t="s">
        <v>438</v>
      </c>
    </row>
    <row r="49" spans="1:8" ht="12.75" customHeight="1" x14ac:dyDescent="0.3">
      <c r="A49" s="412"/>
      <c r="B49" s="414">
        <v>2019</v>
      </c>
      <c r="C49" s="414">
        <v>2020</v>
      </c>
      <c r="D49" s="414">
        <v>2021</v>
      </c>
      <c r="E49" s="414">
        <v>2020</v>
      </c>
      <c r="F49" s="414">
        <v>2021</v>
      </c>
      <c r="G49" s="414" t="s">
        <v>521</v>
      </c>
    </row>
    <row r="50" spans="1:8" ht="12.75" customHeight="1" x14ac:dyDescent="0.3">
      <c r="A50" s="374" t="s">
        <v>165</v>
      </c>
      <c r="B50" s="461">
        <f t="shared" ref="B50:D50" si="38">IFERROR(B32/B14,"")</f>
        <v>124.70414201183432</v>
      </c>
      <c r="C50" s="461">
        <f t="shared" si="38"/>
        <v>115.36034019695613</v>
      </c>
      <c r="D50" s="461">
        <f t="shared" si="38"/>
        <v>92.68882323978336</v>
      </c>
      <c r="E50" s="421">
        <f t="shared" ref="E50:F50" si="39">IFERROR(C50/B50-1,"")</f>
        <v>-7.4927758325713634E-2</v>
      </c>
      <c r="F50" s="421">
        <f t="shared" si="39"/>
        <v>-0.19652782679442005</v>
      </c>
      <c r="G50" s="421">
        <f t="shared" ref="G50:G54" si="40">IFERROR(((D50/B50)^(1/2)-1),"")</f>
        <v>-0.13786903292469754</v>
      </c>
    </row>
    <row r="51" spans="1:8" ht="12.75" customHeight="1" x14ac:dyDescent="0.3">
      <c r="A51" s="374" t="s">
        <v>166</v>
      </c>
      <c r="B51" s="461">
        <f t="shared" ref="B51:D51" si="41">IFERROR(B33/B15,"")</f>
        <v>1080.8924050632911</v>
      </c>
      <c r="C51" s="461">
        <f t="shared" si="41"/>
        <v>1285.5769230769231</v>
      </c>
      <c r="D51" s="461">
        <f t="shared" si="41"/>
        <v>1482.4105263157894</v>
      </c>
      <c r="E51" s="421">
        <f t="shared" ref="E51:F51" si="42">IFERROR(C51/B51-1,"")</f>
        <v>0.18936622836354067</v>
      </c>
      <c r="F51" s="421">
        <f t="shared" si="42"/>
        <v>0.15310916033539335</v>
      </c>
      <c r="G51" s="421">
        <f t="shared" si="40"/>
        <v>0.17109738831557308</v>
      </c>
    </row>
    <row r="52" spans="1:8" ht="12.75" customHeight="1" x14ac:dyDescent="0.3">
      <c r="A52" s="374" t="s">
        <v>172</v>
      </c>
      <c r="B52" s="461">
        <f t="shared" ref="B52:D52" si="43">IFERROR(B34/B16,"")</f>
        <v>122.29272151898734</v>
      </c>
      <c r="C52" s="461">
        <f t="shared" si="43"/>
        <v>122.18557692307692</v>
      </c>
      <c r="D52" s="461">
        <f t="shared" si="43"/>
        <v>114.96377952755905</v>
      </c>
      <c r="E52" s="421">
        <f t="shared" ref="E52:F52" si="44">IFERROR(C52/B52-1,"")</f>
        <v>-8.7613223893934222E-4</v>
      </c>
      <c r="F52" s="421">
        <f t="shared" si="44"/>
        <v>-5.9105154449321073E-2</v>
      </c>
      <c r="G52" s="421">
        <f t="shared" si="40"/>
        <v>-3.0427673021223178E-2</v>
      </c>
    </row>
    <row r="53" spans="1:8" ht="12.75" customHeight="1" x14ac:dyDescent="0.3">
      <c r="A53" s="374" t="s">
        <v>173</v>
      </c>
      <c r="B53" s="461">
        <f t="shared" ref="B53:D53" si="45">IFERROR(B35/B17,"")</f>
        <v>544.25</v>
      </c>
      <c r="C53" s="461">
        <f t="shared" si="45"/>
        <v>536.76470588235293</v>
      </c>
      <c r="D53" s="461">
        <f t="shared" si="45"/>
        <v>497.75862068965517</v>
      </c>
      <c r="E53" s="421">
        <f t="shared" ref="E53:F53" si="46">IFERROR(C53/B53-1,"")</f>
        <v>-1.3753411332378618E-2</v>
      </c>
      <c r="F53" s="421">
        <f t="shared" si="46"/>
        <v>-7.266887104393005E-2</v>
      </c>
      <c r="G53" s="421">
        <f t="shared" si="40"/>
        <v>-4.3664722757641772E-2</v>
      </c>
    </row>
    <row r="54" spans="1:8" ht="12.75" customHeight="1" x14ac:dyDescent="0.3">
      <c r="A54" s="374" t="s">
        <v>175</v>
      </c>
      <c r="B54" s="461" t="str">
        <f t="shared" ref="B54:D54" si="47">IFERROR(B36/B18,"")</f>
        <v/>
      </c>
      <c r="C54" s="461" t="str">
        <f t="shared" si="47"/>
        <v/>
      </c>
      <c r="D54" s="461" t="str">
        <f t="shared" si="47"/>
        <v/>
      </c>
      <c r="E54" s="421" t="str">
        <f t="shared" ref="E54:F54" si="48">IFERROR(C54/B54-1,"")</f>
        <v/>
      </c>
      <c r="F54" s="421" t="str">
        <f t="shared" si="48"/>
        <v/>
      </c>
      <c r="G54" s="421" t="str">
        <f t="shared" si="40"/>
        <v/>
      </c>
    </row>
    <row r="55" spans="1:8" ht="12.75" customHeight="1" x14ac:dyDescent="0.3">
      <c r="A55" s="377" t="s">
        <v>304</v>
      </c>
      <c r="B55" s="425">
        <f t="shared" ref="B55:D55" si="49">AVERAGE(B50,B51,B52,B53)</f>
        <v>468.03481714852819</v>
      </c>
      <c r="C55" s="425">
        <f t="shared" si="49"/>
        <v>514.97188651982719</v>
      </c>
      <c r="D55" s="425">
        <f t="shared" si="49"/>
        <v>546.95543744319684</v>
      </c>
      <c r="E55" s="456"/>
      <c r="F55" s="456"/>
      <c r="G55" s="464">
        <f>(D55/B55)^(1/2)-1</f>
        <v>8.1027871687816111E-2</v>
      </c>
      <c r="H55" s="16" t="s">
        <v>554</v>
      </c>
    </row>
    <row r="56" spans="1:8" ht="12.75" customHeight="1" x14ac:dyDescent="0.3"/>
    <row r="57" spans="1:8" ht="12.75" customHeight="1" x14ac:dyDescent="0.3">
      <c r="A57" s="412" t="s">
        <v>472</v>
      </c>
      <c r="B57" s="612" t="s">
        <v>555</v>
      </c>
      <c r="C57" s="546"/>
      <c r="D57" s="534"/>
      <c r="E57" s="612" t="s">
        <v>437</v>
      </c>
      <c r="F57" s="534"/>
      <c r="G57" s="447" t="s">
        <v>438</v>
      </c>
    </row>
    <row r="58" spans="1:8" ht="12.75" customHeight="1" x14ac:dyDescent="0.3">
      <c r="A58" s="412"/>
      <c r="B58" s="414">
        <v>2019</v>
      </c>
      <c r="C58" s="414">
        <v>2020</v>
      </c>
      <c r="D58" s="414">
        <v>2021</v>
      </c>
      <c r="E58" s="414">
        <v>2020</v>
      </c>
      <c r="F58" s="414">
        <v>2021</v>
      </c>
      <c r="G58" s="414" t="s">
        <v>521</v>
      </c>
    </row>
    <row r="59" spans="1:8" ht="12.75" customHeight="1" x14ac:dyDescent="0.3">
      <c r="A59" s="374" t="s">
        <v>165</v>
      </c>
      <c r="B59" s="461">
        <f t="shared" ref="B59:D59" si="50">IFERROR(B41/B14,"")</f>
        <v>203.60915602616006</v>
      </c>
      <c r="C59" s="461">
        <f t="shared" si="50"/>
        <v>198.32184422560431</v>
      </c>
      <c r="D59" s="461">
        <f t="shared" si="50"/>
        <v>161.89069423929098</v>
      </c>
      <c r="E59" s="421">
        <f t="shared" ref="E59:F59" si="51">IFERROR(C59/B59-1,"")</f>
        <v>-2.5967947138273217E-2</v>
      </c>
      <c r="F59" s="421">
        <f t="shared" si="51"/>
        <v>-0.18369711177589931</v>
      </c>
      <c r="G59" s="421">
        <f t="shared" ref="G59:G64" si="52">IFERROR(((D59/B59)^(1/2)-1),"")</f>
        <v>-0.10831329606532902</v>
      </c>
    </row>
    <row r="60" spans="1:8" ht="12.75" customHeight="1" x14ac:dyDescent="0.3">
      <c r="A60" s="374" t="s">
        <v>166</v>
      </c>
      <c r="B60" s="461">
        <f t="shared" ref="B60:D60" si="53">IFERROR(B42/B15,"")</f>
        <v>1447.626582278481</v>
      </c>
      <c r="C60" s="461">
        <f t="shared" si="53"/>
        <v>996.34265734265739</v>
      </c>
      <c r="D60" s="461">
        <f t="shared" si="53"/>
        <v>628.51157894736843</v>
      </c>
      <c r="E60" s="421">
        <f t="shared" ref="E60:F60" si="54">IFERROR(C60/B60-1,"")</f>
        <v>-0.31174056242151116</v>
      </c>
      <c r="F60" s="421">
        <f t="shared" si="54"/>
        <v>-0.36918130091542012</v>
      </c>
      <c r="G60" s="421">
        <f t="shared" si="52"/>
        <v>-0.34108655876060101</v>
      </c>
    </row>
    <row r="61" spans="1:8" ht="12.75" customHeight="1" x14ac:dyDescent="0.3">
      <c r="A61" s="374" t="s">
        <v>172</v>
      </c>
      <c r="B61" s="461">
        <f t="shared" ref="B61:D61" si="55">IFERROR(B43/B16,"")</f>
        <v>145.18908227848101</v>
      </c>
      <c r="C61" s="461">
        <f t="shared" si="55"/>
        <v>171.20384615384614</v>
      </c>
      <c r="D61" s="461">
        <f t="shared" si="55"/>
        <v>134.92440944881889</v>
      </c>
      <c r="E61" s="421">
        <f t="shared" ref="E61:F61" si="56">IFERROR(C61/B61-1,"")</f>
        <v>0.17917851306110832</v>
      </c>
      <c r="F61" s="421">
        <f t="shared" si="56"/>
        <v>-0.21190783688601278</v>
      </c>
      <c r="G61" s="421">
        <f t="shared" si="52"/>
        <v>-3.599722767210678E-2</v>
      </c>
    </row>
    <row r="62" spans="1:8" ht="12.75" customHeight="1" x14ac:dyDescent="0.3">
      <c r="A62" s="374" t="s">
        <v>173</v>
      </c>
      <c r="B62" s="461">
        <f t="shared" ref="B62:D62" si="57">IFERROR(B44/B17,"")</f>
        <v>350.75</v>
      </c>
      <c r="C62" s="461">
        <f t="shared" si="57"/>
        <v>358.23529411764707</v>
      </c>
      <c r="D62" s="461">
        <f t="shared" si="57"/>
        <v>350.94827586206895</v>
      </c>
      <c r="E62" s="421">
        <f t="shared" ref="E62:F62" si="58">IFERROR(C62/B62-1,"")</f>
        <v>2.1340824284097115E-2</v>
      </c>
      <c r="F62" s="421">
        <f t="shared" si="58"/>
        <v>-2.0341430270086724E-2</v>
      </c>
      <c r="G62" s="421">
        <f t="shared" si="52"/>
        <v>2.8260562949378176E-4</v>
      </c>
    </row>
    <row r="63" spans="1:8" ht="12.75" customHeight="1" x14ac:dyDescent="0.3">
      <c r="A63" s="374" t="s">
        <v>175</v>
      </c>
      <c r="B63" s="461" t="str">
        <f t="shared" ref="B63:D63" si="59">IFERROR(B45/B18,"")</f>
        <v/>
      </c>
      <c r="C63" s="461" t="str">
        <f t="shared" si="59"/>
        <v/>
      </c>
      <c r="D63" s="461" t="str">
        <f t="shared" si="59"/>
        <v/>
      </c>
      <c r="E63" s="421" t="str">
        <f t="shared" ref="E63:F63" si="60">IFERROR(C63/B63-1,"")</f>
        <v/>
      </c>
      <c r="F63" s="421" t="str">
        <f t="shared" si="60"/>
        <v/>
      </c>
      <c r="G63" s="421" t="str">
        <f t="shared" si="52"/>
        <v/>
      </c>
    </row>
    <row r="64" spans="1:8" ht="12.75" customHeight="1" x14ac:dyDescent="0.3">
      <c r="A64" s="472" t="s">
        <v>304</v>
      </c>
      <c r="B64" s="463"/>
      <c r="C64" s="463"/>
      <c r="D64" s="463"/>
      <c r="E64" s="456"/>
      <c r="F64" s="456"/>
      <c r="G64" s="456" t="str">
        <f t="shared" si="52"/>
        <v/>
      </c>
    </row>
    <row r="65" spans="1:7" ht="12.75" customHeight="1" x14ac:dyDescent="0.3"/>
    <row r="66" spans="1:7" ht="12.75" customHeight="1" x14ac:dyDescent="0.3">
      <c r="A66" s="412" t="s">
        <v>472</v>
      </c>
      <c r="B66" s="612" t="s">
        <v>556</v>
      </c>
      <c r="C66" s="546"/>
      <c r="D66" s="534"/>
      <c r="E66" s="612" t="s">
        <v>437</v>
      </c>
      <c r="F66" s="534"/>
      <c r="G66" s="447" t="s">
        <v>438</v>
      </c>
    </row>
    <row r="67" spans="1:7" ht="12.75" customHeight="1" x14ac:dyDescent="0.3">
      <c r="A67" s="412"/>
      <c r="B67" s="414">
        <v>2019</v>
      </c>
      <c r="C67" s="414">
        <v>2020</v>
      </c>
      <c r="D67" s="414">
        <v>2021</v>
      </c>
      <c r="E67" s="414">
        <v>2020</v>
      </c>
      <c r="F67" s="414">
        <v>2021</v>
      </c>
      <c r="G67" s="414" t="s">
        <v>521</v>
      </c>
    </row>
    <row r="68" spans="1:7" ht="12.75" customHeight="1" x14ac:dyDescent="0.3">
      <c r="A68" s="374" t="s">
        <v>165</v>
      </c>
      <c r="B68" s="461">
        <f t="shared" ref="B68:D68" si="61">SUM(B50,B59)</f>
        <v>328.3132980379944</v>
      </c>
      <c r="C68" s="461">
        <f t="shared" si="61"/>
        <v>313.68218442256045</v>
      </c>
      <c r="D68" s="461">
        <f t="shared" si="61"/>
        <v>254.57951747907435</v>
      </c>
      <c r="E68" s="421">
        <f t="shared" ref="E68:F68" si="62">IFERROR(C68/B68-1,"")</f>
        <v>-4.4564486735291342E-2</v>
      </c>
      <c r="F68" s="421">
        <f t="shared" si="62"/>
        <v>-0.18841575925736687</v>
      </c>
      <c r="G68" s="421">
        <f t="shared" ref="G68:G72" si="63">IFERROR(((D68/B68)^(1/2)-1),"")</f>
        <v>-0.11942268618168084</v>
      </c>
    </row>
    <row r="69" spans="1:7" ht="12.75" customHeight="1" x14ac:dyDescent="0.3">
      <c r="A69" s="374" t="s">
        <v>166</v>
      </c>
      <c r="B69" s="461">
        <f t="shared" ref="B69:D69" si="64">SUM(B51,B60)</f>
        <v>2528.5189873417721</v>
      </c>
      <c r="C69" s="461">
        <f t="shared" si="64"/>
        <v>2281.9195804195806</v>
      </c>
      <c r="D69" s="461">
        <f t="shared" si="64"/>
        <v>2110.9221052631578</v>
      </c>
      <c r="E69" s="421">
        <f t="shared" ref="E69:F69" si="65">IFERROR(C69/B69-1,"")</f>
        <v>-9.7527211840889194E-2</v>
      </c>
      <c r="F69" s="421">
        <f t="shared" si="65"/>
        <v>-7.4935802568897314E-2</v>
      </c>
      <c r="G69" s="421">
        <f t="shared" si="63"/>
        <v>-8.6301326759298913E-2</v>
      </c>
    </row>
    <row r="70" spans="1:7" ht="12.75" customHeight="1" x14ac:dyDescent="0.3">
      <c r="A70" s="374" t="s">
        <v>172</v>
      </c>
      <c r="B70" s="461">
        <f t="shared" ref="B70:D70" si="66">SUM(B52,B61)</f>
        <v>267.48180379746833</v>
      </c>
      <c r="C70" s="461">
        <f t="shared" si="66"/>
        <v>293.38942307692309</v>
      </c>
      <c r="D70" s="461">
        <f t="shared" si="66"/>
        <v>249.88818897637793</v>
      </c>
      <c r="E70" s="421">
        <f t="shared" ref="E70:F70" si="67">IFERROR(C70/B70-1,"")</f>
        <v>9.6857501750180708E-2</v>
      </c>
      <c r="F70" s="421">
        <f t="shared" si="67"/>
        <v>-0.14827131000267746</v>
      </c>
      <c r="G70" s="421">
        <f t="shared" si="63"/>
        <v>-3.3446844152160815E-2</v>
      </c>
    </row>
    <row r="71" spans="1:7" ht="12.75" customHeight="1" x14ac:dyDescent="0.3">
      <c r="A71" s="374" t="s">
        <v>173</v>
      </c>
      <c r="B71" s="461">
        <f t="shared" ref="B71:D71" si="68">SUM(B53,B62)</f>
        <v>895</v>
      </c>
      <c r="C71" s="461">
        <f t="shared" si="68"/>
        <v>895</v>
      </c>
      <c r="D71" s="461">
        <f t="shared" si="68"/>
        <v>848.70689655172418</v>
      </c>
      <c r="E71" s="421">
        <f t="shared" ref="E71:F71" si="69">IFERROR(C71/B71-1,"")</f>
        <v>0</v>
      </c>
      <c r="F71" s="421">
        <f t="shared" si="69"/>
        <v>-5.1724137931034475E-2</v>
      </c>
      <c r="G71" s="421">
        <f t="shared" si="63"/>
        <v>-2.6205431279797353E-2</v>
      </c>
    </row>
    <row r="72" spans="1:7" ht="12.75" customHeight="1" x14ac:dyDescent="0.3">
      <c r="A72" s="374" t="s">
        <v>175</v>
      </c>
      <c r="B72" s="461">
        <f t="shared" ref="B72:D72" si="70">SUM(B54,B63)</f>
        <v>0</v>
      </c>
      <c r="C72" s="461">
        <f t="shared" si="70"/>
        <v>0</v>
      </c>
      <c r="D72" s="461">
        <f t="shared" si="70"/>
        <v>0</v>
      </c>
      <c r="E72" s="421" t="str">
        <f t="shared" ref="E72:F72" si="71">IFERROR(C72/B72-1,"")</f>
        <v/>
      </c>
      <c r="F72" s="421" t="str">
        <f t="shared" si="71"/>
        <v/>
      </c>
      <c r="G72" s="421" t="str">
        <f t="shared" si="63"/>
        <v/>
      </c>
    </row>
    <row r="73" spans="1:7" ht="12.75" customHeight="1" x14ac:dyDescent="0.3">
      <c r="A73" s="377" t="s">
        <v>304</v>
      </c>
      <c r="B73" s="425">
        <f t="shared" ref="B73:D73" si="72">AVERAGE(B68,B69,B70,B71)</f>
        <v>1004.8285222943086</v>
      </c>
      <c r="C73" s="425">
        <f t="shared" si="72"/>
        <v>945.99779697976601</v>
      </c>
      <c r="D73" s="425">
        <f t="shared" si="72"/>
        <v>866.02417706758354</v>
      </c>
      <c r="E73" s="456"/>
      <c r="F73" s="456"/>
      <c r="G73" s="464">
        <f>(D73/B73)^(1/2)-1</f>
        <v>-7.163441789994307E-2</v>
      </c>
    </row>
    <row r="74" spans="1:7" ht="12.75" customHeight="1" x14ac:dyDescent="0.3"/>
    <row r="75" spans="1:7" ht="12.75" customHeight="1" x14ac:dyDescent="0.3">
      <c r="A75" s="412" t="s">
        <v>472</v>
      </c>
      <c r="B75" s="612" t="s">
        <v>557</v>
      </c>
      <c r="C75" s="546"/>
      <c r="D75" s="534"/>
      <c r="E75" s="612"/>
      <c r="F75" s="534"/>
      <c r="G75" s="447"/>
    </row>
    <row r="76" spans="1:7" ht="12.75" customHeight="1" x14ac:dyDescent="0.3">
      <c r="A76" s="412"/>
      <c r="B76" s="414">
        <v>2019</v>
      </c>
      <c r="C76" s="414">
        <v>2020</v>
      </c>
      <c r="D76" s="414">
        <v>2021</v>
      </c>
      <c r="E76" s="414"/>
      <c r="F76" s="414"/>
      <c r="G76" s="414"/>
    </row>
    <row r="77" spans="1:7" ht="12.75" customHeight="1" x14ac:dyDescent="0.3">
      <c r="A77" s="374"/>
      <c r="B77" s="473" t="e">
        <f t="shared" ref="B77:D77" si="73">B14/B4</f>
        <v>#DIV/0!</v>
      </c>
      <c r="C77" s="473" t="e">
        <f t="shared" si="73"/>
        <v>#DIV/0!</v>
      </c>
      <c r="D77" s="473" t="e">
        <f t="shared" si="73"/>
        <v>#DIV/0!</v>
      </c>
      <c r="E77" s="421" t="str">
        <f t="shared" ref="E77:F77" si="74">IFERROR(C77/B77-1,"")</f>
        <v/>
      </c>
      <c r="F77" s="421" t="str">
        <f t="shared" si="74"/>
        <v/>
      </c>
      <c r="G77" s="421" t="str">
        <f t="shared" ref="G77:G82" si="75">IFERROR(((D77/B77)^(1/2)-1),"")</f>
        <v/>
      </c>
    </row>
    <row r="78" spans="1:7" ht="12.75" customHeight="1" x14ac:dyDescent="0.3">
      <c r="A78" s="374"/>
      <c r="B78" s="473" t="e">
        <f t="shared" ref="B78:D78" si="76">B15/B5</f>
        <v>#DIV/0!</v>
      </c>
      <c r="C78" s="473" t="e">
        <f t="shared" si="76"/>
        <v>#DIV/0!</v>
      </c>
      <c r="D78" s="473" t="e">
        <f t="shared" si="76"/>
        <v>#DIV/0!</v>
      </c>
      <c r="E78" s="421" t="str">
        <f t="shared" ref="E78:F78" si="77">IFERROR(C78/B78-1,"")</f>
        <v/>
      </c>
      <c r="F78" s="421" t="str">
        <f t="shared" si="77"/>
        <v/>
      </c>
      <c r="G78" s="421" t="str">
        <f t="shared" si="75"/>
        <v/>
      </c>
    </row>
    <row r="79" spans="1:7" ht="12.75" customHeight="1" x14ac:dyDescent="0.3">
      <c r="A79" s="374"/>
      <c r="B79" s="473" t="e">
        <f t="shared" ref="B79:D79" si="78">B16/B6</f>
        <v>#DIV/0!</v>
      </c>
      <c r="C79" s="473" t="e">
        <f t="shared" si="78"/>
        <v>#DIV/0!</v>
      </c>
      <c r="D79" s="473" t="e">
        <f t="shared" si="78"/>
        <v>#DIV/0!</v>
      </c>
      <c r="E79" s="421" t="str">
        <f t="shared" ref="E79:F79" si="79">IFERROR(C79/B79-1,"")</f>
        <v/>
      </c>
      <c r="F79" s="421" t="str">
        <f t="shared" si="79"/>
        <v/>
      </c>
      <c r="G79" s="421" t="str">
        <f t="shared" si="75"/>
        <v/>
      </c>
    </row>
    <row r="80" spans="1:7" ht="12.75" customHeight="1" x14ac:dyDescent="0.3">
      <c r="A80" s="374"/>
      <c r="B80" s="473" t="e">
        <f t="shared" ref="B80:D80" si="80">B17/B7</f>
        <v>#DIV/0!</v>
      </c>
      <c r="C80" s="473" t="e">
        <f t="shared" si="80"/>
        <v>#DIV/0!</v>
      </c>
      <c r="D80" s="473" t="e">
        <f t="shared" si="80"/>
        <v>#DIV/0!</v>
      </c>
      <c r="E80" s="421" t="str">
        <f t="shared" ref="E80:F80" si="81">IFERROR(C80/B80-1,"")</f>
        <v/>
      </c>
      <c r="F80" s="421" t="str">
        <f t="shared" si="81"/>
        <v/>
      </c>
      <c r="G80" s="421" t="str">
        <f t="shared" si="75"/>
        <v/>
      </c>
    </row>
    <row r="81" spans="1:7" ht="12.75" customHeight="1" x14ac:dyDescent="0.3">
      <c r="A81" s="374"/>
      <c r="B81" s="473" t="e">
        <f t="shared" ref="B81:D81" si="82">B18/B8</f>
        <v>#DIV/0!</v>
      </c>
      <c r="C81" s="473" t="e">
        <f t="shared" si="82"/>
        <v>#DIV/0!</v>
      </c>
      <c r="D81" s="473" t="e">
        <f t="shared" si="82"/>
        <v>#DIV/0!</v>
      </c>
      <c r="E81" s="421" t="str">
        <f t="shared" ref="E81:F81" si="83">IFERROR(C81/B81-1,"")</f>
        <v/>
      </c>
      <c r="F81" s="421" t="str">
        <f t="shared" si="83"/>
        <v/>
      </c>
      <c r="G81" s="421" t="str">
        <f t="shared" si="75"/>
        <v/>
      </c>
    </row>
    <row r="82" spans="1:7" ht="12.75" customHeight="1" x14ac:dyDescent="0.3">
      <c r="A82" s="377"/>
      <c r="B82" s="463"/>
      <c r="C82" s="463"/>
      <c r="D82" s="463"/>
      <c r="E82" s="456" t="str">
        <f t="shared" ref="E82:F82" si="84">IFERROR(C82/B82-1,"")</f>
        <v/>
      </c>
      <c r="F82" s="456" t="str">
        <f t="shared" si="84"/>
        <v/>
      </c>
      <c r="G82" s="456" t="str">
        <f t="shared" si="75"/>
        <v/>
      </c>
    </row>
    <row r="83" spans="1:7" ht="12.75" customHeight="1" x14ac:dyDescent="0.3"/>
    <row r="84" spans="1:7" ht="12.75" customHeight="1" x14ac:dyDescent="0.3">
      <c r="A84" s="412" t="s">
        <v>472</v>
      </c>
      <c r="B84" s="612" t="s">
        <v>558</v>
      </c>
      <c r="C84" s="546"/>
      <c r="D84" s="534"/>
      <c r="E84" s="612"/>
      <c r="F84" s="534"/>
      <c r="G84" s="447"/>
    </row>
    <row r="85" spans="1:7" ht="12.75" customHeight="1" x14ac:dyDescent="0.3">
      <c r="A85" s="412"/>
      <c r="B85" s="414">
        <v>2019</v>
      </c>
      <c r="C85" s="414">
        <v>2020</v>
      </c>
      <c r="D85" s="414">
        <v>2021</v>
      </c>
      <c r="E85" s="414"/>
      <c r="F85" s="414"/>
      <c r="G85" s="414"/>
    </row>
    <row r="86" spans="1:7" ht="12.75" customHeight="1" x14ac:dyDescent="0.3">
      <c r="A86" s="374"/>
      <c r="B86" s="461"/>
      <c r="C86" s="461"/>
      <c r="D86" s="461"/>
      <c r="E86" s="421" t="str">
        <f t="shared" ref="E86:F86" si="85">IFERROR(C86/B86-1,"")</f>
        <v/>
      </c>
      <c r="F86" s="421" t="str">
        <f t="shared" si="85"/>
        <v/>
      </c>
      <c r="G86" s="421" t="str">
        <f t="shared" ref="G86:G91" si="86">IFERROR(((D86/B86)^(1/2)-1),"")</f>
        <v/>
      </c>
    </row>
    <row r="87" spans="1:7" ht="12.75" customHeight="1" x14ac:dyDescent="0.3">
      <c r="A87" s="374"/>
      <c r="B87" s="461"/>
      <c r="C87" s="461"/>
      <c r="D87" s="461"/>
      <c r="E87" s="421" t="str">
        <f t="shared" ref="E87:F87" si="87">IFERROR(C87/B87-1,"")</f>
        <v/>
      </c>
      <c r="F87" s="421" t="str">
        <f t="shared" si="87"/>
        <v/>
      </c>
      <c r="G87" s="421" t="str">
        <f t="shared" si="86"/>
        <v/>
      </c>
    </row>
    <row r="88" spans="1:7" ht="12.75" customHeight="1" x14ac:dyDescent="0.3">
      <c r="A88" s="374"/>
      <c r="B88" s="461"/>
      <c r="C88" s="461"/>
      <c r="D88" s="461"/>
      <c r="E88" s="421" t="str">
        <f t="shared" ref="E88:F88" si="88">IFERROR(C88/B88-1,"")</f>
        <v/>
      </c>
      <c r="F88" s="421" t="str">
        <f t="shared" si="88"/>
        <v/>
      </c>
      <c r="G88" s="421" t="str">
        <f t="shared" si="86"/>
        <v/>
      </c>
    </row>
    <row r="89" spans="1:7" ht="12.75" customHeight="1" x14ac:dyDescent="0.3">
      <c r="A89" s="374"/>
      <c r="B89" s="461"/>
      <c r="C89" s="461"/>
      <c r="D89" s="461"/>
      <c r="E89" s="421" t="str">
        <f t="shared" ref="E89:F89" si="89">IFERROR(C89/B89-1,"")</f>
        <v/>
      </c>
      <c r="F89" s="421" t="str">
        <f t="shared" si="89"/>
        <v/>
      </c>
      <c r="G89" s="421" t="str">
        <f t="shared" si="86"/>
        <v/>
      </c>
    </row>
    <row r="90" spans="1:7" ht="12.75" customHeight="1" x14ac:dyDescent="0.3">
      <c r="A90" s="374"/>
      <c r="B90" s="461"/>
      <c r="C90" s="461"/>
      <c r="D90" s="461"/>
      <c r="E90" s="421" t="str">
        <f t="shared" ref="E90:F90" si="90">IFERROR(C90/B90-1,"")</f>
        <v/>
      </c>
      <c r="F90" s="421" t="str">
        <f t="shared" si="90"/>
        <v/>
      </c>
      <c r="G90" s="421" t="str">
        <f t="shared" si="86"/>
        <v/>
      </c>
    </row>
    <row r="91" spans="1:7" ht="12.75" customHeight="1" x14ac:dyDescent="0.3">
      <c r="A91" s="377" t="s">
        <v>304</v>
      </c>
      <c r="B91" s="463">
        <f t="shared" ref="B91:D91" si="91">SUM(B73,B82)</f>
        <v>1004.8285222943086</v>
      </c>
      <c r="C91" s="463">
        <f t="shared" si="91"/>
        <v>945.99779697976601</v>
      </c>
      <c r="D91" s="463">
        <f t="shared" si="91"/>
        <v>866.02417706758354</v>
      </c>
      <c r="E91" s="456">
        <f t="shared" ref="E91:F91" si="92">IFERROR(C91/B91-1,"")</f>
        <v>-5.8548024871164506E-2</v>
      </c>
      <c r="F91" s="456">
        <f t="shared" si="92"/>
        <v>-8.4538907138589248E-2</v>
      </c>
      <c r="G91" s="456">
        <f t="shared" si="86"/>
        <v>-7.163441789994307E-2</v>
      </c>
    </row>
    <row r="92" spans="1:7" ht="12.75" customHeight="1" x14ac:dyDescent="0.3"/>
    <row r="93" spans="1:7" ht="12.75" customHeight="1" x14ac:dyDescent="0.3">
      <c r="A93" s="412" t="s">
        <v>472</v>
      </c>
      <c r="B93" s="612" t="s">
        <v>559</v>
      </c>
      <c r="C93" s="546"/>
      <c r="D93" s="534"/>
      <c r="E93" s="612"/>
      <c r="F93" s="534"/>
      <c r="G93" s="447"/>
    </row>
    <row r="94" spans="1:7" ht="12.75" customHeight="1" x14ac:dyDescent="0.3">
      <c r="A94" s="412"/>
      <c r="B94" s="414">
        <v>2019</v>
      </c>
      <c r="C94" s="414">
        <v>2020</v>
      </c>
      <c r="D94" s="414">
        <v>2021</v>
      </c>
      <c r="E94" s="414"/>
      <c r="F94" s="414"/>
      <c r="G94" s="414"/>
    </row>
    <row r="95" spans="1:7" ht="12.75" customHeight="1" x14ac:dyDescent="0.3">
      <c r="A95" s="374"/>
      <c r="B95" s="473">
        <f t="shared" ref="B95:D95" si="93">IFERROR(B23/B14,"")</f>
        <v>1.9601370289629398</v>
      </c>
      <c r="C95" s="473">
        <f t="shared" si="93"/>
        <v>2.0232766338406445</v>
      </c>
      <c r="D95" s="473">
        <f t="shared" si="93"/>
        <v>2.3820777941900539</v>
      </c>
      <c r="E95" s="421"/>
      <c r="F95" s="421"/>
      <c r="G95" s="421"/>
    </row>
    <row r="96" spans="1:7" ht="12.75" customHeight="1" x14ac:dyDescent="0.3">
      <c r="A96" s="374"/>
      <c r="B96" s="473">
        <f t="shared" ref="B96:D96" si="94">IFERROR(B24/B15,"")</f>
        <v>2.9303797468354431</v>
      </c>
      <c r="C96" s="473">
        <f t="shared" si="94"/>
        <v>1.7727272727272727</v>
      </c>
      <c r="D96" s="473">
        <f t="shared" si="94"/>
        <v>1.1178947368421053</v>
      </c>
      <c r="E96" s="421"/>
      <c r="F96" s="421"/>
      <c r="G96" s="421"/>
    </row>
    <row r="97" spans="1:7" ht="12.75" customHeight="1" x14ac:dyDescent="0.3">
      <c r="A97" s="374"/>
      <c r="B97" s="473">
        <f t="shared" ref="B97:D97" si="95">IFERROR(B25/B16,"")</f>
        <v>1.7238924050632911</v>
      </c>
      <c r="C97" s="473">
        <f t="shared" si="95"/>
        <v>1.8269230769230769</v>
      </c>
      <c r="D97" s="473">
        <f t="shared" si="95"/>
        <v>1.0598425196850394</v>
      </c>
      <c r="E97" s="421"/>
      <c r="F97" s="421"/>
      <c r="G97" s="421"/>
    </row>
    <row r="98" spans="1:7" ht="12.75" customHeight="1" x14ac:dyDescent="0.3">
      <c r="A98" s="374"/>
      <c r="B98" s="473">
        <f t="shared" ref="B98:D98" si="96">IFERROR(B26/B17,"")</f>
        <v>1.3916666666666666</v>
      </c>
      <c r="C98" s="473">
        <f t="shared" si="96"/>
        <v>2.0588235294117645</v>
      </c>
      <c r="D98" s="473">
        <f t="shared" si="96"/>
        <v>3.2413793103448274</v>
      </c>
      <c r="E98" s="421"/>
      <c r="F98" s="421"/>
      <c r="G98" s="421"/>
    </row>
    <row r="99" spans="1:7" ht="12.75" customHeight="1" x14ac:dyDescent="0.3">
      <c r="A99" s="374"/>
      <c r="B99" s="473" t="str">
        <f t="shared" ref="B99:D99" si="97">IFERROR(B27/B18,"")</f>
        <v/>
      </c>
      <c r="C99" s="473" t="str">
        <f t="shared" si="97"/>
        <v/>
      </c>
      <c r="D99" s="473" t="str">
        <f t="shared" si="97"/>
        <v/>
      </c>
      <c r="E99" s="421"/>
      <c r="F99" s="421"/>
      <c r="G99" s="421"/>
    </row>
    <row r="100" spans="1:7" ht="12.75" customHeight="1" x14ac:dyDescent="0.3">
      <c r="A100" s="377" t="s">
        <v>304</v>
      </c>
      <c r="B100" s="464">
        <f t="shared" ref="B100:D100" si="98">IFERROR(B28/B19,"")</f>
        <v>1.9152114454029034</v>
      </c>
      <c r="C100" s="464">
        <f t="shared" si="98"/>
        <v>1.9498346196251377</v>
      </c>
      <c r="D100" s="464">
        <f t="shared" si="98"/>
        <v>1.8101199791340636</v>
      </c>
      <c r="E100" s="456"/>
      <c r="F100" s="456"/>
      <c r="G100" s="456"/>
    </row>
    <row r="101" spans="1:7" ht="12.75" customHeight="1" x14ac:dyDescent="0.3"/>
    <row r="102" spans="1:7" ht="12.75" customHeight="1" x14ac:dyDescent="0.3">
      <c r="A102" s="412" t="s">
        <v>472</v>
      </c>
      <c r="B102" s="612" t="s">
        <v>560</v>
      </c>
      <c r="C102" s="546"/>
      <c r="D102" s="534"/>
    </row>
    <row r="103" spans="1:7" ht="12.75" customHeight="1" x14ac:dyDescent="0.3">
      <c r="A103" s="412"/>
      <c r="B103" s="414">
        <v>2019</v>
      </c>
      <c r="C103" s="414">
        <v>2020</v>
      </c>
      <c r="D103" s="414">
        <v>2021</v>
      </c>
    </row>
    <row r="104" spans="1:7" ht="12.75" customHeight="1" x14ac:dyDescent="0.3">
      <c r="A104" s="374"/>
      <c r="B104" s="473">
        <f t="shared" ref="B104:D104" si="99">B59/B68</f>
        <v>0.62016725256921268</v>
      </c>
      <c r="C104" s="473">
        <f t="shared" si="99"/>
        <v>0.63223815082352741</v>
      </c>
      <c r="D104" s="473">
        <f t="shared" si="99"/>
        <v>0.63591405876789708</v>
      </c>
    </row>
    <row r="105" spans="1:7" ht="12.75" customHeight="1" x14ac:dyDescent="0.3">
      <c r="A105" s="374"/>
      <c r="B105" s="473">
        <f t="shared" ref="B105:D105" si="100">B60/B69</f>
        <v>0.57251956165864848</v>
      </c>
      <c r="C105" s="473">
        <f t="shared" si="100"/>
        <v>0.43662478988828263</v>
      </c>
      <c r="D105" s="473">
        <f t="shared" si="100"/>
        <v>0.29774266770919772</v>
      </c>
    </row>
    <row r="106" spans="1:7" ht="12.75" customHeight="1" x14ac:dyDescent="0.3">
      <c r="A106" s="374"/>
      <c r="B106" s="473">
        <f t="shared" ref="B106:D106" si="101">B61/B70</f>
        <v>0.54279984738107712</v>
      </c>
      <c r="C106" s="473">
        <f t="shared" si="101"/>
        <v>0.58353789430561243</v>
      </c>
      <c r="D106" s="473">
        <f t="shared" si="101"/>
        <v>0.53993912237914277</v>
      </c>
    </row>
    <row r="107" spans="1:7" ht="12.75" customHeight="1" x14ac:dyDescent="0.3">
      <c r="A107" s="374"/>
      <c r="B107" s="473">
        <f t="shared" ref="B107:D107" si="102">B62/B71</f>
        <v>0.39189944134078214</v>
      </c>
      <c r="C107" s="473">
        <f t="shared" si="102"/>
        <v>0.40026289845547158</v>
      </c>
      <c r="D107" s="473">
        <f t="shared" si="102"/>
        <v>0.4135093956323006</v>
      </c>
    </row>
    <row r="108" spans="1:7" ht="12.75" customHeight="1" x14ac:dyDescent="0.3">
      <c r="A108" s="374"/>
      <c r="B108" s="473"/>
      <c r="C108" s="473"/>
      <c r="D108" s="473"/>
    </row>
    <row r="109" spans="1:7" ht="12.75" customHeight="1" x14ac:dyDescent="0.3">
      <c r="A109" s="377"/>
      <c r="B109" s="464"/>
      <c r="C109" s="464"/>
      <c r="D109" s="464"/>
    </row>
    <row r="110" spans="1:7" ht="12.75" customHeight="1" x14ac:dyDescent="0.3"/>
    <row r="111" spans="1:7" ht="12.75" customHeight="1" x14ac:dyDescent="0.3"/>
    <row r="112" spans="1:7"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5">
    <mergeCell ref="B93:D93"/>
    <mergeCell ref="E93:F93"/>
    <mergeCell ref="B102:D102"/>
    <mergeCell ref="B57:D57"/>
    <mergeCell ref="E57:F57"/>
    <mergeCell ref="B66:D66"/>
    <mergeCell ref="E66:F66"/>
    <mergeCell ref="B75:D75"/>
    <mergeCell ref="E75:F75"/>
    <mergeCell ref="E84:F84"/>
    <mergeCell ref="B39:D39"/>
    <mergeCell ref="E39:F39"/>
    <mergeCell ref="B48:D48"/>
    <mergeCell ref="E48:F48"/>
    <mergeCell ref="B84:D84"/>
    <mergeCell ref="I14:I18"/>
    <mergeCell ref="E21:F21"/>
    <mergeCell ref="B21:D21"/>
    <mergeCell ref="B30:D30"/>
    <mergeCell ref="E30:F30"/>
    <mergeCell ref="B2:D2"/>
    <mergeCell ref="E2:F2"/>
    <mergeCell ref="B12:D12"/>
    <mergeCell ref="E12:F12"/>
    <mergeCell ref="H14:H18"/>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sheetPr>
  <dimension ref="A1:Z1006"/>
  <sheetViews>
    <sheetView workbookViewId="0"/>
  </sheetViews>
  <sheetFormatPr defaultColWidth="14.3984375" defaultRowHeight="15" customHeight="1" x14ac:dyDescent="0.3"/>
  <cols>
    <col min="1" max="1" width="8.8984375" customWidth="1"/>
    <col min="2" max="2" width="87.3984375" customWidth="1"/>
    <col min="3" max="10" width="8.8984375" customWidth="1"/>
    <col min="11" max="11" width="6.8984375" customWidth="1"/>
    <col min="12" max="12" width="2.3984375" customWidth="1"/>
    <col min="13" max="13" width="45.09765625" customWidth="1"/>
    <col min="14" max="26" width="8.69921875" customWidth="1"/>
  </cols>
  <sheetData>
    <row r="1" spans="1:26" ht="15.5" x14ac:dyDescent="0.35">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5" x14ac:dyDescent="0.35">
      <c r="A2" s="20"/>
      <c r="B2" s="547" t="s">
        <v>11</v>
      </c>
      <c r="C2" s="546"/>
      <c r="D2" s="546"/>
      <c r="E2" s="546"/>
      <c r="F2" s="546"/>
      <c r="G2" s="546"/>
      <c r="H2" s="546"/>
      <c r="I2" s="546"/>
      <c r="J2" s="546"/>
      <c r="K2" s="534"/>
      <c r="L2" s="20"/>
      <c r="M2" s="21" t="s">
        <v>12</v>
      </c>
      <c r="N2" s="20"/>
      <c r="O2" s="20"/>
      <c r="P2" s="20"/>
      <c r="Q2" s="20"/>
      <c r="R2" s="20"/>
      <c r="S2" s="20"/>
      <c r="T2" s="20"/>
      <c r="U2" s="20"/>
      <c r="V2" s="20"/>
      <c r="W2" s="20"/>
      <c r="X2" s="20"/>
      <c r="Y2" s="20"/>
      <c r="Z2" s="20"/>
    </row>
    <row r="3" spans="1:26" ht="10.5" customHeight="1" x14ac:dyDescent="0.35">
      <c r="A3" s="20"/>
      <c r="B3" s="20"/>
      <c r="C3" s="20"/>
      <c r="D3" s="20"/>
      <c r="E3" s="20"/>
      <c r="F3" s="20"/>
      <c r="G3" s="20"/>
      <c r="H3" s="20"/>
      <c r="I3" s="20"/>
      <c r="J3" s="20"/>
      <c r="K3" s="20"/>
      <c r="L3" s="20"/>
      <c r="M3" s="20"/>
      <c r="N3" s="20"/>
      <c r="O3" s="20"/>
      <c r="P3" s="20"/>
      <c r="Q3" s="20"/>
      <c r="R3" s="20"/>
      <c r="S3" s="20"/>
      <c r="T3" s="20"/>
      <c r="U3" s="20"/>
      <c r="V3" s="20"/>
      <c r="W3" s="20"/>
      <c r="X3" s="20"/>
      <c r="Y3" s="20"/>
      <c r="Z3" s="20"/>
    </row>
    <row r="4" spans="1:26" ht="45.75" customHeight="1" x14ac:dyDescent="0.35">
      <c r="A4" s="20"/>
      <c r="B4" s="548" t="s">
        <v>13</v>
      </c>
      <c r="C4" s="546"/>
      <c r="D4" s="546"/>
      <c r="E4" s="546"/>
      <c r="F4" s="546"/>
      <c r="G4" s="546"/>
      <c r="H4" s="546"/>
      <c r="I4" s="546"/>
      <c r="J4" s="546"/>
      <c r="K4" s="534"/>
      <c r="L4" s="20"/>
      <c r="M4" s="20"/>
      <c r="N4" s="20"/>
      <c r="O4" s="20"/>
      <c r="P4" s="20"/>
      <c r="Q4" s="20"/>
      <c r="R4" s="20"/>
      <c r="S4" s="20"/>
      <c r="T4" s="20"/>
      <c r="U4" s="20"/>
      <c r="V4" s="20"/>
      <c r="W4" s="20"/>
      <c r="X4" s="20"/>
      <c r="Y4" s="20"/>
      <c r="Z4" s="20"/>
    </row>
    <row r="5" spans="1:26" ht="6" customHeight="1" x14ac:dyDescent="0.35">
      <c r="A5" s="20"/>
      <c r="B5" s="22"/>
      <c r="C5" s="22"/>
      <c r="D5" s="22"/>
      <c r="E5" s="22"/>
      <c r="F5" s="22"/>
      <c r="G5" s="22"/>
      <c r="H5" s="22"/>
      <c r="I5" s="22"/>
      <c r="J5" s="22"/>
      <c r="K5" s="22"/>
      <c r="L5" s="20"/>
      <c r="M5" s="20"/>
      <c r="N5" s="20"/>
      <c r="O5" s="20"/>
      <c r="P5" s="20"/>
      <c r="Q5" s="20"/>
      <c r="R5" s="20"/>
      <c r="S5" s="20"/>
      <c r="T5" s="20"/>
      <c r="U5" s="20"/>
      <c r="V5" s="20"/>
      <c r="W5" s="20"/>
      <c r="X5" s="20"/>
      <c r="Y5" s="20"/>
      <c r="Z5" s="20"/>
    </row>
    <row r="6" spans="1:26" ht="15.5" x14ac:dyDescent="0.35">
      <c r="A6" s="20"/>
      <c r="B6" s="547" t="s">
        <v>14</v>
      </c>
      <c r="C6" s="546"/>
      <c r="D6" s="546"/>
      <c r="E6" s="546"/>
      <c r="F6" s="546"/>
      <c r="G6" s="546"/>
      <c r="H6" s="546"/>
      <c r="I6" s="546"/>
      <c r="J6" s="546"/>
      <c r="K6" s="534"/>
      <c r="L6" s="20"/>
      <c r="M6" s="23" t="s">
        <v>15</v>
      </c>
      <c r="N6" s="20"/>
      <c r="O6" s="20"/>
      <c r="P6" s="20"/>
      <c r="Q6" s="20"/>
      <c r="R6" s="20"/>
      <c r="S6" s="20"/>
      <c r="T6" s="20"/>
      <c r="U6" s="20"/>
      <c r="V6" s="20"/>
      <c r="W6" s="20"/>
      <c r="X6" s="20"/>
      <c r="Y6" s="20"/>
      <c r="Z6" s="20"/>
    </row>
    <row r="7" spans="1:26" ht="15.5" x14ac:dyDescent="0.35">
      <c r="A7" s="20"/>
      <c r="B7" s="24" t="s">
        <v>16</v>
      </c>
      <c r="C7" s="25"/>
      <c r="D7" s="25"/>
      <c r="E7" s="25"/>
      <c r="F7" s="25"/>
      <c r="G7" s="25"/>
      <c r="H7" s="25"/>
      <c r="I7" s="25"/>
      <c r="J7" s="25"/>
      <c r="K7" s="25"/>
      <c r="L7" s="20"/>
      <c r="M7" s="25"/>
      <c r="N7" s="20"/>
      <c r="O7" s="20"/>
      <c r="P7" s="20"/>
      <c r="Q7" s="20"/>
      <c r="R7" s="20"/>
      <c r="S7" s="20"/>
      <c r="T7" s="20"/>
      <c r="U7" s="20"/>
      <c r="V7" s="20"/>
      <c r="W7" s="20"/>
      <c r="X7" s="20"/>
      <c r="Y7" s="20"/>
      <c r="Z7" s="20"/>
    </row>
    <row r="8" spans="1:26" ht="46.5" customHeight="1" x14ac:dyDescent="0.35">
      <c r="A8" s="20"/>
      <c r="B8" s="549" t="s">
        <v>17</v>
      </c>
      <c r="C8" s="546"/>
      <c r="D8" s="546"/>
      <c r="E8" s="546"/>
      <c r="F8" s="546"/>
      <c r="G8" s="546"/>
      <c r="H8" s="546"/>
      <c r="I8" s="546"/>
      <c r="J8" s="546"/>
      <c r="K8" s="534"/>
      <c r="L8" s="20"/>
      <c r="M8" s="26"/>
      <c r="N8" s="20"/>
      <c r="O8" s="20"/>
      <c r="P8" s="20"/>
      <c r="Q8" s="20"/>
      <c r="R8" s="20"/>
      <c r="S8" s="20"/>
      <c r="T8" s="20"/>
      <c r="U8" s="20"/>
      <c r="V8" s="20"/>
      <c r="W8" s="20"/>
      <c r="X8" s="20"/>
      <c r="Y8" s="20"/>
      <c r="Z8" s="20"/>
    </row>
    <row r="9" spans="1:26" ht="9.75" customHeight="1" x14ac:dyDescent="0.35">
      <c r="A9" s="20"/>
      <c r="B9" s="27"/>
      <c r="C9" s="28"/>
      <c r="D9" s="28"/>
      <c r="E9" s="28"/>
      <c r="F9" s="28"/>
      <c r="G9" s="28"/>
      <c r="H9" s="28"/>
      <c r="I9" s="28"/>
      <c r="J9" s="28"/>
      <c r="K9" s="28"/>
      <c r="L9" s="20"/>
      <c r="M9" s="20"/>
      <c r="N9" s="20"/>
      <c r="O9" s="20"/>
      <c r="P9" s="20"/>
      <c r="Q9" s="20"/>
      <c r="R9" s="20"/>
      <c r="S9" s="20"/>
      <c r="T9" s="20"/>
      <c r="U9" s="20"/>
      <c r="V9" s="20"/>
      <c r="W9" s="20"/>
      <c r="X9" s="20"/>
      <c r="Y9" s="20"/>
      <c r="Z9" s="20"/>
    </row>
    <row r="10" spans="1:26" ht="15.5" x14ac:dyDescent="0.35">
      <c r="A10" s="20"/>
      <c r="B10" s="549" t="s">
        <v>18</v>
      </c>
      <c r="C10" s="546"/>
      <c r="D10" s="546"/>
      <c r="E10" s="546"/>
      <c r="F10" s="546"/>
      <c r="G10" s="546"/>
      <c r="H10" s="546"/>
      <c r="I10" s="546"/>
      <c r="J10" s="546"/>
      <c r="K10" s="534"/>
      <c r="L10" s="20"/>
      <c r="M10" s="26"/>
      <c r="N10" s="20"/>
      <c r="O10" s="20"/>
      <c r="P10" s="20"/>
      <c r="Q10" s="20"/>
      <c r="R10" s="20"/>
      <c r="S10" s="20"/>
      <c r="T10" s="20"/>
      <c r="U10" s="20"/>
      <c r="V10" s="20"/>
      <c r="W10" s="20"/>
      <c r="X10" s="20"/>
      <c r="Y10" s="20"/>
      <c r="Z10" s="20"/>
    </row>
    <row r="11" spans="1:26" ht="10.5" customHeight="1" x14ac:dyDescent="0.35">
      <c r="A11" s="20"/>
      <c r="B11" s="27"/>
      <c r="C11" s="28"/>
      <c r="D11" s="28"/>
      <c r="E11" s="28"/>
      <c r="F11" s="28"/>
      <c r="G11" s="28"/>
      <c r="H11" s="28"/>
      <c r="I11" s="28"/>
      <c r="J11" s="28"/>
      <c r="K11" s="28"/>
      <c r="L11" s="20"/>
      <c r="M11" s="20"/>
      <c r="N11" s="20"/>
      <c r="O11" s="20"/>
      <c r="P11" s="20"/>
      <c r="Q11" s="20"/>
      <c r="R11" s="20"/>
      <c r="S11" s="20"/>
      <c r="T11" s="20"/>
      <c r="U11" s="20"/>
      <c r="V11" s="20"/>
      <c r="W11" s="20"/>
      <c r="X11" s="20"/>
      <c r="Y11" s="20"/>
      <c r="Z11" s="20"/>
    </row>
    <row r="12" spans="1:26" ht="31.5" customHeight="1" x14ac:dyDescent="0.35">
      <c r="A12" s="20"/>
      <c r="B12" s="549" t="s">
        <v>19</v>
      </c>
      <c r="C12" s="546"/>
      <c r="D12" s="546"/>
      <c r="E12" s="546"/>
      <c r="F12" s="546"/>
      <c r="G12" s="546"/>
      <c r="H12" s="546"/>
      <c r="I12" s="546"/>
      <c r="J12" s="546"/>
      <c r="K12" s="534"/>
      <c r="L12" s="20"/>
      <c r="M12" s="26"/>
      <c r="N12" s="20"/>
      <c r="O12" s="20"/>
      <c r="P12" s="20"/>
      <c r="Q12" s="20"/>
      <c r="R12" s="20"/>
      <c r="S12" s="20"/>
      <c r="T12" s="20"/>
      <c r="U12" s="20"/>
      <c r="V12" s="20"/>
      <c r="W12" s="20"/>
      <c r="X12" s="20"/>
      <c r="Y12" s="20"/>
      <c r="Z12" s="20"/>
    </row>
    <row r="13" spans="1:26" ht="9" customHeight="1" x14ac:dyDescent="0.35">
      <c r="A13" s="20"/>
      <c r="B13" s="22"/>
      <c r="C13" s="22"/>
      <c r="D13" s="22"/>
      <c r="E13" s="22"/>
      <c r="F13" s="22"/>
      <c r="G13" s="22"/>
      <c r="H13" s="22"/>
      <c r="I13" s="22"/>
      <c r="J13" s="22"/>
      <c r="K13" s="22"/>
      <c r="L13" s="20"/>
      <c r="M13" s="20"/>
      <c r="N13" s="20"/>
      <c r="O13" s="20"/>
      <c r="P13" s="20"/>
      <c r="Q13" s="20"/>
      <c r="R13" s="20"/>
      <c r="S13" s="20"/>
      <c r="T13" s="20"/>
      <c r="U13" s="20"/>
      <c r="V13" s="20"/>
      <c r="W13" s="20"/>
      <c r="X13" s="20"/>
      <c r="Y13" s="20"/>
      <c r="Z13" s="20"/>
    </row>
    <row r="14" spans="1:26" ht="15.5" x14ac:dyDescent="0.35">
      <c r="A14" s="20"/>
      <c r="B14" s="24" t="s">
        <v>20</v>
      </c>
      <c r="C14" s="29"/>
      <c r="D14" s="29"/>
      <c r="E14" s="29"/>
      <c r="F14" s="29"/>
      <c r="G14" s="29"/>
      <c r="H14" s="29"/>
      <c r="I14" s="29"/>
      <c r="J14" s="29"/>
      <c r="K14" s="29"/>
      <c r="L14" s="20"/>
      <c r="M14" s="25"/>
      <c r="N14" s="20"/>
      <c r="O14" s="20"/>
      <c r="P14" s="20"/>
      <c r="Q14" s="20"/>
      <c r="R14" s="20"/>
      <c r="S14" s="20"/>
      <c r="T14" s="20"/>
      <c r="U14" s="20"/>
      <c r="V14" s="20"/>
      <c r="W14" s="20"/>
      <c r="X14" s="20"/>
      <c r="Y14" s="20"/>
      <c r="Z14" s="20"/>
    </row>
    <row r="15" spans="1:26" ht="35.25" customHeight="1" x14ac:dyDescent="0.35">
      <c r="A15" s="20"/>
      <c r="B15" s="549" t="s">
        <v>21</v>
      </c>
      <c r="C15" s="546"/>
      <c r="D15" s="546"/>
      <c r="E15" s="546"/>
      <c r="F15" s="546"/>
      <c r="G15" s="546"/>
      <c r="H15" s="546"/>
      <c r="I15" s="546"/>
      <c r="J15" s="546"/>
      <c r="K15" s="534"/>
      <c r="L15" s="20"/>
      <c r="M15" s="26"/>
      <c r="N15" s="20"/>
      <c r="O15" s="20"/>
      <c r="P15" s="20"/>
      <c r="Q15" s="20"/>
      <c r="R15" s="20"/>
      <c r="S15" s="20"/>
      <c r="T15" s="20"/>
      <c r="U15" s="20"/>
      <c r="V15" s="20"/>
      <c r="W15" s="20"/>
      <c r="X15" s="20"/>
      <c r="Y15" s="20"/>
      <c r="Z15" s="20"/>
    </row>
    <row r="16" spans="1:26" ht="8.25" customHeight="1" x14ac:dyDescent="0.35">
      <c r="A16" s="20"/>
      <c r="B16" s="27"/>
      <c r="C16" s="20"/>
      <c r="D16" s="20"/>
      <c r="E16" s="20"/>
      <c r="F16" s="20"/>
      <c r="G16" s="20"/>
      <c r="H16" s="20"/>
      <c r="I16" s="20"/>
      <c r="J16" s="20"/>
      <c r="K16" s="20"/>
      <c r="L16" s="20"/>
      <c r="M16" s="20"/>
      <c r="N16" s="20"/>
      <c r="O16" s="20"/>
      <c r="P16" s="20"/>
      <c r="Q16" s="20"/>
      <c r="R16" s="20"/>
      <c r="S16" s="20"/>
      <c r="T16" s="20"/>
      <c r="U16" s="20"/>
      <c r="V16" s="20"/>
      <c r="W16" s="20"/>
      <c r="X16" s="20"/>
      <c r="Y16" s="20"/>
      <c r="Z16" s="20"/>
    </row>
    <row r="17" spans="1:26" ht="15.5" x14ac:dyDescent="0.35">
      <c r="A17" s="20"/>
      <c r="B17" s="549" t="s">
        <v>22</v>
      </c>
      <c r="C17" s="546"/>
      <c r="D17" s="546"/>
      <c r="E17" s="546"/>
      <c r="F17" s="546"/>
      <c r="G17" s="546"/>
      <c r="H17" s="546"/>
      <c r="I17" s="546"/>
      <c r="J17" s="546"/>
      <c r="K17" s="534"/>
      <c r="L17" s="20"/>
      <c r="M17" s="26"/>
      <c r="N17" s="20"/>
      <c r="O17" s="20"/>
      <c r="P17" s="20"/>
      <c r="Q17" s="20"/>
      <c r="R17" s="20"/>
      <c r="S17" s="20"/>
      <c r="T17" s="20"/>
      <c r="U17" s="20"/>
      <c r="V17" s="20"/>
      <c r="W17" s="20"/>
      <c r="X17" s="20"/>
      <c r="Y17" s="20"/>
      <c r="Z17" s="20"/>
    </row>
    <row r="18" spans="1:26" ht="9" customHeight="1" x14ac:dyDescent="0.35">
      <c r="A18" s="20"/>
      <c r="B18" s="27"/>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ht="15.5" x14ac:dyDescent="0.35">
      <c r="A19" s="20"/>
      <c r="B19" s="24" t="s">
        <v>23</v>
      </c>
      <c r="C19" s="29"/>
      <c r="D19" s="29"/>
      <c r="E19" s="29"/>
      <c r="F19" s="29"/>
      <c r="G19" s="29"/>
      <c r="H19" s="29"/>
      <c r="I19" s="29"/>
      <c r="J19" s="29"/>
      <c r="K19" s="29"/>
      <c r="L19" s="20"/>
      <c r="M19" s="20"/>
      <c r="N19" s="20"/>
      <c r="O19" s="20"/>
      <c r="P19" s="20"/>
      <c r="Q19" s="20"/>
      <c r="R19" s="20"/>
      <c r="S19" s="20"/>
      <c r="T19" s="20"/>
      <c r="U19" s="20"/>
      <c r="V19" s="20"/>
      <c r="W19" s="20"/>
      <c r="X19" s="20"/>
      <c r="Y19" s="20"/>
      <c r="Z19" s="20"/>
    </row>
    <row r="20" spans="1:26" ht="15.5" x14ac:dyDescent="0.35">
      <c r="A20" s="20"/>
      <c r="B20" s="549" t="s">
        <v>24</v>
      </c>
      <c r="C20" s="546"/>
      <c r="D20" s="546"/>
      <c r="E20" s="546"/>
      <c r="F20" s="546"/>
      <c r="G20" s="546"/>
      <c r="H20" s="546"/>
      <c r="I20" s="546"/>
      <c r="J20" s="546"/>
      <c r="K20" s="534"/>
      <c r="L20" s="20"/>
      <c r="M20" s="26"/>
      <c r="N20" s="20"/>
      <c r="O20" s="20"/>
      <c r="P20" s="20"/>
      <c r="Q20" s="20"/>
      <c r="R20" s="20"/>
      <c r="S20" s="20"/>
      <c r="T20" s="20"/>
      <c r="U20" s="20"/>
      <c r="V20" s="20"/>
      <c r="W20" s="20"/>
      <c r="X20" s="20"/>
      <c r="Y20" s="20"/>
      <c r="Z20" s="20"/>
    </row>
    <row r="21" spans="1:26" ht="9" customHeight="1" x14ac:dyDescent="0.35">
      <c r="A21" s="20"/>
      <c r="B21" s="27"/>
      <c r="C21" s="20"/>
      <c r="D21" s="20"/>
      <c r="E21" s="20"/>
      <c r="F21" s="20"/>
      <c r="G21" s="20"/>
      <c r="H21" s="20"/>
      <c r="I21" s="20"/>
      <c r="J21" s="20"/>
      <c r="K21" s="20"/>
      <c r="L21" s="20"/>
      <c r="M21" s="20"/>
      <c r="N21" s="20"/>
      <c r="O21" s="20"/>
      <c r="P21" s="20"/>
      <c r="Q21" s="20"/>
      <c r="R21" s="20"/>
      <c r="S21" s="20"/>
      <c r="T21" s="20"/>
      <c r="U21" s="20"/>
      <c r="V21" s="20"/>
      <c r="W21" s="20"/>
      <c r="X21" s="20"/>
      <c r="Y21" s="20"/>
      <c r="Z21" s="20"/>
    </row>
    <row r="22" spans="1:26" ht="15.5" x14ac:dyDescent="0.35">
      <c r="A22" s="20"/>
      <c r="B22" s="549" t="s">
        <v>25</v>
      </c>
      <c r="C22" s="546"/>
      <c r="D22" s="546"/>
      <c r="E22" s="546"/>
      <c r="F22" s="546"/>
      <c r="G22" s="546"/>
      <c r="H22" s="546"/>
      <c r="I22" s="546"/>
      <c r="J22" s="546"/>
      <c r="K22" s="534"/>
      <c r="L22" s="20"/>
      <c r="M22" s="26"/>
      <c r="N22" s="20"/>
      <c r="O22" s="20"/>
      <c r="P22" s="20"/>
      <c r="Q22" s="20"/>
      <c r="R22" s="20"/>
      <c r="S22" s="20"/>
      <c r="T22" s="20"/>
      <c r="U22" s="20"/>
      <c r="V22" s="20"/>
      <c r="W22" s="20"/>
      <c r="X22" s="20"/>
      <c r="Y22" s="20"/>
      <c r="Z22" s="20"/>
    </row>
    <row r="23" spans="1:26" ht="9" customHeight="1" x14ac:dyDescent="0.35">
      <c r="A23" s="20"/>
      <c r="B23" s="27"/>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ht="15.5" x14ac:dyDescent="0.35">
      <c r="A24" s="20"/>
      <c r="B24" s="549" t="s">
        <v>26</v>
      </c>
      <c r="C24" s="546"/>
      <c r="D24" s="546"/>
      <c r="E24" s="546"/>
      <c r="F24" s="546"/>
      <c r="G24" s="546"/>
      <c r="H24" s="546"/>
      <c r="I24" s="546"/>
      <c r="J24" s="546"/>
      <c r="K24" s="534"/>
      <c r="L24" s="20"/>
      <c r="M24" s="26"/>
      <c r="N24" s="20"/>
      <c r="O24" s="20"/>
      <c r="P24" s="20"/>
      <c r="Q24" s="20"/>
      <c r="R24" s="20"/>
      <c r="S24" s="20"/>
      <c r="T24" s="20"/>
      <c r="U24" s="20"/>
      <c r="V24" s="20"/>
      <c r="W24" s="20"/>
      <c r="X24" s="20"/>
      <c r="Y24" s="20"/>
      <c r="Z24" s="20"/>
    </row>
    <row r="25" spans="1:26" ht="9" customHeight="1" x14ac:dyDescent="0.35">
      <c r="A25" s="20"/>
      <c r="B25" s="27"/>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ht="15.75" customHeight="1" x14ac:dyDescent="0.35">
      <c r="A26" s="20"/>
      <c r="B26" s="24" t="s">
        <v>27</v>
      </c>
      <c r="C26" s="29"/>
      <c r="D26" s="29"/>
      <c r="E26" s="29"/>
      <c r="F26" s="29"/>
      <c r="G26" s="29"/>
      <c r="H26" s="29"/>
      <c r="I26" s="29"/>
      <c r="J26" s="29"/>
      <c r="K26" s="29"/>
      <c r="L26" s="20"/>
      <c r="M26" s="20"/>
      <c r="N26" s="20"/>
      <c r="O26" s="20"/>
      <c r="P26" s="20"/>
      <c r="Q26" s="20"/>
      <c r="R26" s="20"/>
      <c r="S26" s="20"/>
      <c r="T26" s="20"/>
      <c r="U26" s="20"/>
      <c r="V26" s="20"/>
      <c r="W26" s="20"/>
      <c r="X26" s="20"/>
      <c r="Y26" s="20"/>
      <c r="Z26" s="20"/>
    </row>
    <row r="27" spans="1:26" ht="15" customHeight="1" x14ac:dyDescent="0.35">
      <c r="A27" s="20"/>
      <c r="B27" s="549" t="s">
        <v>28</v>
      </c>
      <c r="C27" s="546"/>
      <c r="D27" s="546"/>
      <c r="E27" s="546"/>
      <c r="F27" s="546"/>
      <c r="G27" s="546"/>
      <c r="H27" s="546"/>
      <c r="I27" s="546"/>
      <c r="J27" s="546"/>
      <c r="K27" s="534"/>
      <c r="L27" s="20"/>
      <c r="M27" s="26"/>
      <c r="N27" s="20"/>
      <c r="O27" s="20"/>
      <c r="P27" s="20"/>
      <c r="Q27" s="20"/>
      <c r="R27" s="20"/>
      <c r="S27" s="20"/>
      <c r="T27" s="20"/>
      <c r="U27" s="20"/>
      <c r="V27" s="20"/>
      <c r="W27" s="20"/>
      <c r="X27" s="20"/>
      <c r="Y27" s="20"/>
      <c r="Z27" s="20"/>
    </row>
    <row r="28" spans="1:26" ht="9" customHeight="1" x14ac:dyDescent="0.35">
      <c r="A28" s="20"/>
      <c r="B28" s="27"/>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ht="18.75" customHeight="1" x14ac:dyDescent="0.35">
      <c r="A29" s="20"/>
      <c r="B29" s="549" t="s">
        <v>29</v>
      </c>
      <c r="C29" s="546"/>
      <c r="D29" s="546"/>
      <c r="E29" s="546"/>
      <c r="F29" s="546"/>
      <c r="G29" s="546"/>
      <c r="H29" s="546"/>
      <c r="I29" s="546"/>
      <c r="J29" s="546"/>
      <c r="K29" s="534"/>
      <c r="L29" s="20"/>
      <c r="M29" s="26"/>
      <c r="N29" s="20"/>
      <c r="O29" s="20"/>
      <c r="P29" s="20"/>
      <c r="Q29" s="20"/>
      <c r="R29" s="20"/>
      <c r="S29" s="20"/>
      <c r="T29" s="20"/>
      <c r="U29" s="20"/>
      <c r="V29" s="20"/>
      <c r="W29" s="20"/>
      <c r="X29" s="20"/>
      <c r="Y29" s="20"/>
      <c r="Z29" s="20"/>
    </row>
    <row r="30" spans="1:26" ht="15.5" x14ac:dyDescent="0.35">
      <c r="A30" s="20"/>
      <c r="B30" s="24" t="s">
        <v>30</v>
      </c>
      <c r="C30" s="29"/>
      <c r="D30" s="29"/>
      <c r="E30" s="29"/>
      <c r="F30" s="29"/>
      <c r="G30" s="29"/>
      <c r="H30" s="29"/>
      <c r="I30" s="29"/>
      <c r="J30" s="29"/>
      <c r="K30" s="29"/>
      <c r="L30" s="20"/>
      <c r="M30" s="20"/>
      <c r="N30" s="20"/>
      <c r="O30" s="20"/>
      <c r="P30" s="20"/>
      <c r="Q30" s="20"/>
      <c r="R30" s="20"/>
      <c r="S30" s="20"/>
      <c r="T30" s="20"/>
      <c r="U30" s="20"/>
      <c r="V30" s="20"/>
      <c r="W30" s="20"/>
      <c r="X30" s="20"/>
      <c r="Y30" s="20"/>
      <c r="Z30" s="20"/>
    </row>
    <row r="31" spans="1:26" ht="15.5" x14ac:dyDescent="0.35">
      <c r="A31" s="20"/>
      <c r="B31" s="549" t="s">
        <v>31</v>
      </c>
      <c r="C31" s="546"/>
      <c r="D31" s="546"/>
      <c r="E31" s="546"/>
      <c r="F31" s="546"/>
      <c r="G31" s="546"/>
      <c r="H31" s="546"/>
      <c r="I31" s="546"/>
      <c r="J31" s="546"/>
      <c r="K31" s="534"/>
      <c r="L31" s="20"/>
      <c r="M31" s="26"/>
      <c r="N31" s="20"/>
      <c r="O31" s="20"/>
      <c r="P31" s="20"/>
      <c r="Q31" s="20"/>
      <c r="R31" s="20"/>
      <c r="S31" s="20"/>
      <c r="T31" s="20"/>
      <c r="U31" s="20"/>
      <c r="V31" s="20"/>
      <c r="W31" s="20"/>
      <c r="X31" s="20"/>
      <c r="Y31" s="20"/>
      <c r="Z31" s="20"/>
    </row>
    <row r="32" spans="1:26" ht="9" customHeight="1" x14ac:dyDescent="0.35">
      <c r="A32" s="20"/>
      <c r="B32" s="27"/>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31.5" customHeight="1" x14ac:dyDescent="0.35">
      <c r="A33" s="20"/>
      <c r="B33" s="549" t="s">
        <v>32</v>
      </c>
      <c r="C33" s="546"/>
      <c r="D33" s="546"/>
      <c r="E33" s="546"/>
      <c r="F33" s="546"/>
      <c r="G33" s="546"/>
      <c r="H33" s="546"/>
      <c r="I33" s="546"/>
      <c r="J33" s="546"/>
      <c r="K33" s="534"/>
      <c r="L33" s="20"/>
      <c r="M33" s="26"/>
      <c r="N33" s="20"/>
      <c r="O33" s="20"/>
      <c r="P33" s="20"/>
      <c r="Q33" s="20"/>
      <c r="R33" s="20"/>
      <c r="S33" s="20"/>
      <c r="T33" s="20"/>
      <c r="U33" s="20"/>
      <c r="V33" s="20"/>
      <c r="W33" s="20"/>
      <c r="X33" s="20"/>
      <c r="Y33" s="20"/>
      <c r="Z33" s="20"/>
    </row>
    <row r="34" spans="1:26" ht="9" customHeight="1" x14ac:dyDescent="0.35">
      <c r="A34" s="20"/>
      <c r="B34" s="27"/>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15.5" x14ac:dyDescent="0.35">
      <c r="A35" s="20"/>
      <c r="B35" s="24" t="s">
        <v>33</v>
      </c>
      <c r="C35" s="29"/>
      <c r="D35" s="29"/>
      <c r="E35" s="29"/>
      <c r="F35" s="29"/>
      <c r="G35" s="29"/>
      <c r="H35" s="29"/>
      <c r="I35" s="29"/>
      <c r="J35" s="29"/>
      <c r="K35" s="29"/>
      <c r="L35" s="20"/>
      <c r="M35" s="20"/>
      <c r="N35" s="20"/>
      <c r="O35" s="20"/>
      <c r="P35" s="20"/>
      <c r="Q35" s="20"/>
      <c r="R35" s="20"/>
      <c r="S35" s="20"/>
      <c r="T35" s="20"/>
      <c r="U35" s="20"/>
      <c r="V35" s="20"/>
      <c r="W35" s="20"/>
      <c r="X35" s="20"/>
      <c r="Y35" s="20"/>
      <c r="Z35" s="20"/>
    </row>
    <row r="36" spans="1:26" ht="15.5" x14ac:dyDescent="0.35">
      <c r="A36" s="20"/>
      <c r="B36" s="549" t="s">
        <v>34</v>
      </c>
      <c r="C36" s="546"/>
      <c r="D36" s="546"/>
      <c r="E36" s="546"/>
      <c r="F36" s="546"/>
      <c r="G36" s="546"/>
      <c r="H36" s="546"/>
      <c r="I36" s="546"/>
      <c r="J36" s="546"/>
      <c r="K36" s="534"/>
      <c r="L36" s="20"/>
      <c r="M36" s="26"/>
      <c r="N36" s="20"/>
      <c r="O36" s="20"/>
      <c r="P36" s="20"/>
      <c r="Q36" s="20"/>
      <c r="R36" s="20"/>
      <c r="S36" s="20"/>
      <c r="T36" s="20"/>
      <c r="U36" s="20"/>
      <c r="V36" s="20"/>
      <c r="W36" s="20"/>
      <c r="X36" s="20"/>
      <c r="Y36" s="20"/>
      <c r="Z36" s="20"/>
    </row>
    <row r="37" spans="1:26" ht="9" customHeight="1" x14ac:dyDescent="0.35">
      <c r="A37" s="20"/>
      <c r="B37" s="27"/>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15.5" x14ac:dyDescent="0.35">
      <c r="A38" s="20"/>
      <c r="B38" s="24" t="s">
        <v>35</v>
      </c>
      <c r="C38" s="29"/>
      <c r="D38" s="29"/>
      <c r="E38" s="29"/>
      <c r="F38" s="29"/>
      <c r="G38" s="29"/>
      <c r="H38" s="29"/>
      <c r="I38" s="29"/>
      <c r="J38" s="29"/>
      <c r="K38" s="29"/>
      <c r="L38" s="20"/>
      <c r="M38" s="20"/>
      <c r="N38" s="20"/>
      <c r="O38" s="20"/>
      <c r="P38" s="20"/>
      <c r="Q38" s="20"/>
      <c r="R38" s="20"/>
      <c r="S38" s="20"/>
      <c r="T38" s="20"/>
      <c r="U38" s="20"/>
      <c r="V38" s="20"/>
      <c r="W38" s="20"/>
      <c r="X38" s="20"/>
      <c r="Y38" s="20"/>
      <c r="Z38" s="20"/>
    </row>
    <row r="39" spans="1:26" ht="28.5" customHeight="1" x14ac:dyDescent="0.35">
      <c r="A39" s="20"/>
      <c r="B39" s="549" t="s">
        <v>36</v>
      </c>
      <c r="C39" s="546"/>
      <c r="D39" s="546"/>
      <c r="E39" s="546"/>
      <c r="F39" s="546"/>
      <c r="G39" s="546"/>
      <c r="H39" s="546"/>
      <c r="I39" s="546"/>
      <c r="J39" s="546"/>
      <c r="K39" s="534"/>
      <c r="L39" s="20"/>
      <c r="M39" s="26"/>
      <c r="N39" s="20"/>
      <c r="O39" s="20"/>
      <c r="P39" s="20"/>
      <c r="Q39" s="20"/>
      <c r="R39" s="20"/>
      <c r="S39" s="20"/>
      <c r="T39" s="20"/>
      <c r="U39" s="20"/>
      <c r="V39" s="20"/>
      <c r="W39" s="20"/>
      <c r="X39" s="20"/>
      <c r="Y39" s="20"/>
      <c r="Z39" s="20"/>
    </row>
    <row r="40" spans="1:26" ht="15.5" x14ac:dyDescent="0.3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15.5" x14ac:dyDescent="0.35">
      <c r="A41" s="20"/>
      <c r="B41" s="550" t="s">
        <v>37</v>
      </c>
      <c r="C41" s="546"/>
      <c r="D41" s="546"/>
      <c r="E41" s="546"/>
      <c r="F41" s="546"/>
      <c r="G41" s="546"/>
      <c r="H41" s="546"/>
      <c r="I41" s="546"/>
      <c r="J41" s="546"/>
      <c r="K41" s="534"/>
      <c r="L41" s="20"/>
      <c r="M41" s="20"/>
      <c r="N41" s="20"/>
      <c r="O41" s="20"/>
      <c r="P41" s="20"/>
      <c r="Q41" s="20"/>
      <c r="R41" s="20"/>
      <c r="S41" s="20"/>
      <c r="T41" s="20"/>
      <c r="U41" s="20"/>
      <c r="V41" s="20"/>
      <c r="W41" s="20"/>
      <c r="X41" s="20"/>
      <c r="Y41" s="20"/>
      <c r="Z41" s="20"/>
    </row>
    <row r="42" spans="1:26" ht="15.5" x14ac:dyDescent="0.35">
      <c r="A42" s="20"/>
      <c r="B42" s="20" t="s">
        <v>38</v>
      </c>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15.5" x14ac:dyDescent="0.35">
      <c r="A43" s="20"/>
      <c r="B43" s="20" t="s">
        <v>39</v>
      </c>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15.5" x14ac:dyDescent="0.35">
      <c r="A44" s="20"/>
      <c r="B44" s="20" t="s">
        <v>40</v>
      </c>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15.5" x14ac:dyDescent="0.35">
      <c r="A45" s="20"/>
      <c r="B45" s="20" t="s">
        <v>41</v>
      </c>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15.5" x14ac:dyDescent="0.35">
      <c r="A46" s="20"/>
      <c r="B46" s="20" t="s">
        <v>42</v>
      </c>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15.5" x14ac:dyDescent="0.3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15.5" x14ac:dyDescent="0.35">
      <c r="A48" s="20"/>
      <c r="B48" s="550" t="s">
        <v>43</v>
      </c>
      <c r="C48" s="546"/>
      <c r="D48" s="546"/>
      <c r="E48" s="546"/>
      <c r="F48" s="546"/>
      <c r="G48" s="546"/>
      <c r="H48" s="546"/>
      <c r="I48" s="546"/>
      <c r="J48" s="546"/>
      <c r="K48" s="534"/>
      <c r="L48" s="20"/>
      <c r="M48" s="20"/>
      <c r="N48" s="20"/>
      <c r="O48" s="20"/>
      <c r="P48" s="20"/>
      <c r="Q48" s="20"/>
      <c r="R48" s="20"/>
      <c r="S48" s="20"/>
      <c r="T48" s="20"/>
      <c r="U48" s="20"/>
      <c r="V48" s="20"/>
      <c r="W48" s="20"/>
      <c r="X48" s="20"/>
      <c r="Y48" s="20"/>
      <c r="Z48" s="20"/>
    </row>
    <row r="49" spans="1:26" ht="15.5" x14ac:dyDescent="0.35">
      <c r="A49" s="20"/>
      <c r="B49" s="20" t="s">
        <v>44</v>
      </c>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15.5" x14ac:dyDescent="0.35">
      <c r="A50" s="20"/>
      <c r="B50" s="20" t="s">
        <v>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5" x14ac:dyDescent="0.35">
      <c r="A51" s="20"/>
      <c r="B51" s="20" t="s">
        <v>46</v>
      </c>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15.5" x14ac:dyDescent="0.3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15.5" x14ac:dyDescent="0.35">
      <c r="A53" s="20"/>
      <c r="B53" s="550" t="s">
        <v>47</v>
      </c>
      <c r="C53" s="546"/>
      <c r="D53" s="546"/>
      <c r="E53" s="546"/>
      <c r="F53" s="546"/>
      <c r="G53" s="546"/>
      <c r="H53" s="546"/>
      <c r="I53" s="546"/>
      <c r="J53" s="546"/>
      <c r="K53" s="534"/>
      <c r="L53" s="20"/>
      <c r="M53" s="20"/>
      <c r="N53" s="20"/>
      <c r="O53" s="20"/>
      <c r="P53" s="20"/>
      <c r="Q53" s="20"/>
      <c r="R53" s="20"/>
      <c r="S53" s="20"/>
      <c r="T53" s="20"/>
      <c r="U53" s="20"/>
      <c r="V53" s="20"/>
      <c r="W53" s="20"/>
      <c r="X53" s="20"/>
      <c r="Y53" s="20"/>
      <c r="Z53" s="20"/>
    </row>
    <row r="54" spans="1:26" ht="15.5" x14ac:dyDescent="0.35">
      <c r="A54" s="20"/>
      <c r="B54" s="20" t="s">
        <v>48</v>
      </c>
      <c r="C54" s="20" t="s">
        <v>49</v>
      </c>
      <c r="D54" s="20"/>
      <c r="E54" s="20"/>
      <c r="F54" s="20"/>
      <c r="G54" s="20"/>
      <c r="H54" s="20"/>
      <c r="I54" s="20"/>
      <c r="J54" s="20"/>
      <c r="K54" s="20"/>
      <c r="L54" s="20"/>
      <c r="M54" s="20"/>
      <c r="N54" s="20"/>
      <c r="O54" s="20"/>
      <c r="P54" s="20"/>
      <c r="Q54" s="20"/>
      <c r="R54" s="20"/>
      <c r="S54" s="20"/>
      <c r="T54" s="20"/>
      <c r="U54" s="20"/>
      <c r="V54" s="20"/>
      <c r="W54" s="20"/>
      <c r="X54" s="20"/>
      <c r="Y54" s="20"/>
      <c r="Z54" s="20"/>
    </row>
    <row r="55" spans="1:26" ht="15.5" x14ac:dyDescent="0.35">
      <c r="A55" s="20"/>
      <c r="B55" s="20" t="s">
        <v>50</v>
      </c>
      <c r="C55" s="20" t="s">
        <v>51</v>
      </c>
      <c r="D55" s="20"/>
      <c r="E55" s="20"/>
      <c r="F55" s="20"/>
      <c r="G55" s="20"/>
      <c r="H55" s="20"/>
      <c r="I55" s="20"/>
      <c r="J55" s="20"/>
      <c r="K55" s="20"/>
      <c r="L55" s="20"/>
      <c r="M55" s="20"/>
      <c r="N55" s="20"/>
      <c r="O55" s="20"/>
      <c r="P55" s="20"/>
      <c r="Q55" s="20"/>
      <c r="R55" s="20"/>
      <c r="S55" s="20"/>
      <c r="T55" s="20"/>
      <c r="U55" s="20"/>
      <c r="V55" s="20"/>
      <c r="W55" s="20"/>
      <c r="X55" s="20"/>
      <c r="Y55" s="20"/>
      <c r="Z55" s="20"/>
    </row>
    <row r="56" spans="1:26" ht="15.5" x14ac:dyDescent="0.3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15.5" x14ac:dyDescent="0.3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15.5" x14ac:dyDescent="0.3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15.5" x14ac:dyDescent="0.3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15.5" x14ac:dyDescent="0.3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15.5" x14ac:dyDescent="0.3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15.5" x14ac:dyDescent="0.3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15.5" x14ac:dyDescent="0.3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15.5" x14ac:dyDescent="0.3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15.5" x14ac:dyDescent="0.3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15.5" x14ac:dyDescent="0.3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15.5" x14ac:dyDescent="0.3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15.5" x14ac:dyDescent="0.3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15.5" x14ac:dyDescent="0.3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15.5" x14ac:dyDescent="0.3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15.5" x14ac:dyDescent="0.3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15.5" x14ac:dyDescent="0.3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15.5" x14ac:dyDescent="0.3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15.5" x14ac:dyDescent="0.3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15.5" x14ac:dyDescent="0.3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15.5" x14ac:dyDescent="0.3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15.5" x14ac:dyDescent="0.3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15.5" x14ac:dyDescent="0.3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15.5" x14ac:dyDescent="0.3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15.5" x14ac:dyDescent="0.3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15.5" x14ac:dyDescent="0.3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15.5" x14ac:dyDescent="0.3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15.5" x14ac:dyDescent="0.3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15.5" x14ac:dyDescent="0.3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15.5" x14ac:dyDescent="0.3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15.5" x14ac:dyDescent="0.3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15.5" x14ac:dyDescent="0.3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15.5" x14ac:dyDescent="0.3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15.5" x14ac:dyDescent="0.3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15.5" x14ac:dyDescent="0.3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15.5" x14ac:dyDescent="0.3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15.5" x14ac:dyDescent="0.3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15.5" x14ac:dyDescent="0.3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15.5" x14ac:dyDescent="0.3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15.5" x14ac:dyDescent="0.3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15.5" x14ac:dyDescent="0.3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15.5" x14ac:dyDescent="0.3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15.5" x14ac:dyDescent="0.3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15.5" x14ac:dyDescent="0.3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15.5" x14ac:dyDescent="0.3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15.5" x14ac:dyDescent="0.3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15.5" x14ac:dyDescent="0.3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15.5" x14ac:dyDescent="0.3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15.5" x14ac:dyDescent="0.35">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15.5" x14ac:dyDescent="0.3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15.5" x14ac:dyDescent="0.35">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15.5" x14ac:dyDescent="0.35">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15.5" x14ac:dyDescent="0.35">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15.5" x14ac:dyDescent="0.35">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15.5" x14ac:dyDescent="0.35">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15.5" x14ac:dyDescent="0.35">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15.5" x14ac:dyDescent="0.35">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15.5" x14ac:dyDescent="0.35">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15.5" x14ac:dyDescent="0.3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15.5" x14ac:dyDescent="0.3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15.5" x14ac:dyDescent="0.35">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15.5" x14ac:dyDescent="0.3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15.5" x14ac:dyDescent="0.3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15.5" x14ac:dyDescent="0.35">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15.5" x14ac:dyDescent="0.35">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15.5" x14ac:dyDescent="0.35">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15.5" x14ac:dyDescent="0.35">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15.5" x14ac:dyDescent="0.35">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15.5" x14ac:dyDescent="0.35">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15.5" x14ac:dyDescent="0.3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15.5" x14ac:dyDescent="0.35">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15.5" x14ac:dyDescent="0.35">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15.5" x14ac:dyDescent="0.35">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15.5" x14ac:dyDescent="0.35">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15.5" x14ac:dyDescent="0.35">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15.5" x14ac:dyDescent="0.35">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15.5" x14ac:dyDescent="0.35">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15.5" x14ac:dyDescent="0.35">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15.5" x14ac:dyDescent="0.35">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15.5" x14ac:dyDescent="0.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15.5" x14ac:dyDescent="0.35">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15.5" x14ac:dyDescent="0.35">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15.5" x14ac:dyDescent="0.35">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15.5" x14ac:dyDescent="0.35">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15.5" x14ac:dyDescent="0.35">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15.5" x14ac:dyDescent="0.35">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15.5" x14ac:dyDescent="0.35">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15.5" x14ac:dyDescent="0.35">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15.5" x14ac:dyDescent="0.35">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15.5" x14ac:dyDescent="0.3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15.5" x14ac:dyDescent="0.35">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15.5" x14ac:dyDescent="0.35">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15.5" x14ac:dyDescent="0.35">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15.5" x14ac:dyDescent="0.35">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15.5" x14ac:dyDescent="0.35">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15.5" x14ac:dyDescent="0.35">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15.5" x14ac:dyDescent="0.35">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15.5" x14ac:dyDescent="0.35">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15.5" x14ac:dyDescent="0.35">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15.5" x14ac:dyDescent="0.3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15.5" x14ac:dyDescent="0.35">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15.5" x14ac:dyDescent="0.35">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15.5" x14ac:dyDescent="0.35">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15.5" x14ac:dyDescent="0.35">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15.5" x14ac:dyDescent="0.35">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15.5" x14ac:dyDescent="0.35">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15.5" x14ac:dyDescent="0.35">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15.5" x14ac:dyDescent="0.35">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15.5" x14ac:dyDescent="0.35">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15.5" x14ac:dyDescent="0.3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15.5" x14ac:dyDescent="0.35">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15.5" x14ac:dyDescent="0.35">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15.5" x14ac:dyDescent="0.35">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15.5" x14ac:dyDescent="0.35">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15.5" x14ac:dyDescent="0.35">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15.5" x14ac:dyDescent="0.35">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15.5" x14ac:dyDescent="0.35">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15.5" x14ac:dyDescent="0.35">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15.5" x14ac:dyDescent="0.35">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15.5" x14ac:dyDescent="0.3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15.5" x14ac:dyDescent="0.35">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15.5" x14ac:dyDescent="0.35">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15.5" x14ac:dyDescent="0.35">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15.5" x14ac:dyDescent="0.35">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15.5" x14ac:dyDescent="0.35">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15.5" x14ac:dyDescent="0.35">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15.5" x14ac:dyDescent="0.35">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15.5" x14ac:dyDescent="0.35">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15.5" x14ac:dyDescent="0.35">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15.5" x14ac:dyDescent="0.3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15.5" x14ac:dyDescent="0.35">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15.5" x14ac:dyDescent="0.35">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15.5" x14ac:dyDescent="0.35">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15.5" x14ac:dyDescent="0.35">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15.5" x14ac:dyDescent="0.35">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15.5" x14ac:dyDescent="0.35">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15.5" x14ac:dyDescent="0.35">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15.5" x14ac:dyDescent="0.3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15.5" x14ac:dyDescent="0.35">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15.5" x14ac:dyDescent="0.3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15.5" x14ac:dyDescent="0.35">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15.5" x14ac:dyDescent="0.35">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15.5" x14ac:dyDescent="0.35">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15.5" x14ac:dyDescent="0.35">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15.5" x14ac:dyDescent="0.35">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15.5" x14ac:dyDescent="0.35">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15.5" x14ac:dyDescent="0.35">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15.5" x14ac:dyDescent="0.35">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15.5" x14ac:dyDescent="0.35">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15.5" x14ac:dyDescent="0.3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15.5" x14ac:dyDescent="0.35">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15.5" x14ac:dyDescent="0.35">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15.5" x14ac:dyDescent="0.35">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15.5" x14ac:dyDescent="0.35">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15.5" x14ac:dyDescent="0.35">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15.5" x14ac:dyDescent="0.35">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15.5" x14ac:dyDescent="0.35">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15.5" x14ac:dyDescent="0.35">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15.5" x14ac:dyDescent="0.35">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15.5" x14ac:dyDescent="0.3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15.5" x14ac:dyDescent="0.35">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15.5" x14ac:dyDescent="0.35">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15.5" x14ac:dyDescent="0.35">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15.5" x14ac:dyDescent="0.35">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15.5" x14ac:dyDescent="0.35">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15.5" x14ac:dyDescent="0.35">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15.5" x14ac:dyDescent="0.35">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15.5" x14ac:dyDescent="0.35">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15.5" x14ac:dyDescent="0.35">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15.5" x14ac:dyDescent="0.3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15.5" x14ac:dyDescent="0.35">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15.5" x14ac:dyDescent="0.35">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15.5" x14ac:dyDescent="0.35">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15.5" x14ac:dyDescent="0.35">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15.5" x14ac:dyDescent="0.35">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15.5" x14ac:dyDescent="0.35">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15.5" x14ac:dyDescent="0.35">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15.5" x14ac:dyDescent="0.35">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15.5" x14ac:dyDescent="0.35">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15.5" x14ac:dyDescent="0.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15.5" x14ac:dyDescent="0.35">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15.5" x14ac:dyDescent="0.35">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15.5" x14ac:dyDescent="0.35">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15.5" x14ac:dyDescent="0.35">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15.5" x14ac:dyDescent="0.35">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15.5" x14ac:dyDescent="0.35">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15.5" x14ac:dyDescent="0.35">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15.5" x14ac:dyDescent="0.35">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15.5" x14ac:dyDescent="0.35">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15.5" x14ac:dyDescent="0.3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15.5" x14ac:dyDescent="0.35">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15.5" x14ac:dyDescent="0.35">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15.5" x14ac:dyDescent="0.35">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15.5" x14ac:dyDescent="0.35">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15.5" x14ac:dyDescent="0.35">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15.5" x14ac:dyDescent="0.35">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15.5" x14ac:dyDescent="0.35">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15.5" x14ac:dyDescent="0.35">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15.5" x14ac:dyDescent="0.35">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15.5" x14ac:dyDescent="0.3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15.5" x14ac:dyDescent="0.35">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15.5" x14ac:dyDescent="0.35">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15.5" x14ac:dyDescent="0.35">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15.5" x14ac:dyDescent="0.35">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15.5" x14ac:dyDescent="0.35">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15.5" x14ac:dyDescent="0.35">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15.5" x14ac:dyDescent="0.35">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15.5" x14ac:dyDescent="0.35">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15.5" x14ac:dyDescent="0.35">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15.5" x14ac:dyDescent="0.3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15.5" x14ac:dyDescent="0.35">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15.5" x14ac:dyDescent="0.35">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15.5" x14ac:dyDescent="0.35">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15.5" x14ac:dyDescent="0.35">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15.5" x14ac:dyDescent="0.35">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15.5" x14ac:dyDescent="0.35">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15.5" x14ac:dyDescent="0.35">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15.5" x14ac:dyDescent="0.35">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15.5" x14ac:dyDescent="0.35">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15.5" x14ac:dyDescent="0.3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15.5" x14ac:dyDescent="0.35">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15.5" x14ac:dyDescent="0.35">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15.5" x14ac:dyDescent="0.35">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15.5" x14ac:dyDescent="0.35">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15.5" x14ac:dyDescent="0.35">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15.5" x14ac:dyDescent="0.35">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15.5" x14ac:dyDescent="0.35">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15.5" x14ac:dyDescent="0.35">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15.5" x14ac:dyDescent="0.35">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15.5" x14ac:dyDescent="0.3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15.5" x14ac:dyDescent="0.35">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15.5" x14ac:dyDescent="0.35">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15.5" x14ac:dyDescent="0.35">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15.5" x14ac:dyDescent="0.35">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15.5" x14ac:dyDescent="0.35">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15.5" x14ac:dyDescent="0.35">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15.5" x14ac:dyDescent="0.35">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15.5" x14ac:dyDescent="0.35">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15.5" x14ac:dyDescent="0.35">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15.5" x14ac:dyDescent="0.3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15.5" x14ac:dyDescent="0.35">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15.5" x14ac:dyDescent="0.35">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15.5" x14ac:dyDescent="0.35">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15.5" x14ac:dyDescent="0.35">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15.5" x14ac:dyDescent="0.35">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15.5" x14ac:dyDescent="0.35">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15.5" x14ac:dyDescent="0.35">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15.5" x14ac:dyDescent="0.35">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15.5" x14ac:dyDescent="0.35">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15.5" x14ac:dyDescent="0.3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15.5" x14ac:dyDescent="0.35">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15.5" x14ac:dyDescent="0.35">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15.5" x14ac:dyDescent="0.35">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15.5" x14ac:dyDescent="0.35">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15.5" x14ac:dyDescent="0.35">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15.5" x14ac:dyDescent="0.35">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15.5" x14ac:dyDescent="0.35">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15.5" x14ac:dyDescent="0.35">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15.5" x14ac:dyDescent="0.35">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15.5" x14ac:dyDescent="0.3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15.5" x14ac:dyDescent="0.35">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15.5" x14ac:dyDescent="0.35">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15.5" x14ac:dyDescent="0.35">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15.5" x14ac:dyDescent="0.35">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15.5" x14ac:dyDescent="0.35">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15.5" x14ac:dyDescent="0.35">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15.5" x14ac:dyDescent="0.35">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15.5" x14ac:dyDescent="0.35">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15.5" x14ac:dyDescent="0.35">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15.5" x14ac:dyDescent="0.3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15.5" x14ac:dyDescent="0.35">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15.5" x14ac:dyDescent="0.35">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15.5" x14ac:dyDescent="0.35">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15.5" x14ac:dyDescent="0.35">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15.5" x14ac:dyDescent="0.35">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15.5" x14ac:dyDescent="0.35">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15.5" x14ac:dyDescent="0.35">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15.5" x14ac:dyDescent="0.35">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15.5" x14ac:dyDescent="0.35">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15.5" x14ac:dyDescent="0.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15.5" x14ac:dyDescent="0.35">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15.5" x14ac:dyDescent="0.35">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15.5" x14ac:dyDescent="0.35">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15.5" x14ac:dyDescent="0.35">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15.5" x14ac:dyDescent="0.35">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15.5" x14ac:dyDescent="0.35">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15.5" x14ac:dyDescent="0.35">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15.5" x14ac:dyDescent="0.35">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15.5" x14ac:dyDescent="0.35">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15.5" x14ac:dyDescent="0.3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15.5" x14ac:dyDescent="0.35">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15.5" x14ac:dyDescent="0.35">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15.5" x14ac:dyDescent="0.35">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15.5" x14ac:dyDescent="0.35">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15.5" x14ac:dyDescent="0.35">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15.5" x14ac:dyDescent="0.35">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15.5" x14ac:dyDescent="0.35">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15.5" x14ac:dyDescent="0.35">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15.5" x14ac:dyDescent="0.35">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15.5" x14ac:dyDescent="0.3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15.5" x14ac:dyDescent="0.35">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15.5" x14ac:dyDescent="0.35">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15.5" x14ac:dyDescent="0.35">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15.5" x14ac:dyDescent="0.35">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15.5" x14ac:dyDescent="0.35">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15.5" x14ac:dyDescent="0.35">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15.5" x14ac:dyDescent="0.35">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15.5" x14ac:dyDescent="0.35">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15.5" x14ac:dyDescent="0.35">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15.5" x14ac:dyDescent="0.3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15.5" x14ac:dyDescent="0.35">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15.5" x14ac:dyDescent="0.35">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15.5" x14ac:dyDescent="0.35">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15.5" x14ac:dyDescent="0.35">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15.5" x14ac:dyDescent="0.35">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15.5" x14ac:dyDescent="0.35">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15.5" x14ac:dyDescent="0.35">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15.5" x14ac:dyDescent="0.35">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15.5" x14ac:dyDescent="0.35">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15.5" x14ac:dyDescent="0.3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15.5" x14ac:dyDescent="0.35">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15.5" x14ac:dyDescent="0.35">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15.5" x14ac:dyDescent="0.35">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15.5" x14ac:dyDescent="0.35">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15.5" x14ac:dyDescent="0.35">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15.5" x14ac:dyDescent="0.35">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15.5" x14ac:dyDescent="0.35">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15.5" x14ac:dyDescent="0.35">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15.5" x14ac:dyDescent="0.35">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15.5" x14ac:dyDescent="0.3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15.5" x14ac:dyDescent="0.35">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15.5" x14ac:dyDescent="0.35">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15.5" x14ac:dyDescent="0.35">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15.5" x14ac:dyDescent="0.35">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15.5" x14ac:dyDescent="0.35">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15.5" x14ac:dyDescent="0.35">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15.5" x14ac:dyDescent="0.35">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15.5" x14ac:dyDescent="0.35">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15.5" x14ac:dyDescent="0.35">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15.5" x14ac:dyDescent="0.3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15.5" x14ac:dyDescent="0.35">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15.5" x14ac:dyDescent="0.35">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15.5" x14ac:dyDescent="0.35">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15.5" x14ac:dyDescent="0.35">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15.5" x14ac:dyDescent="0.35">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15.5" x14ac:dyDescent="0.35">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15.5" x14ac:dyDescent="0.35">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15.5" x14ac:dyDescent="0.35">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15.5" x14ac:dyDescent="0.35">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15.5" x14ac:dyDescent="0.3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15.5" x14ac:dyDescent="0.35">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15.5" x14ac:dyDescent="0.35">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15.5" x14ac:dyDescent="0.35">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15.5" x14ac:dyDescent="0.35">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15.5" x14ac:dyDescent="0.35">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15.5" x14ac:dyDescent="0.35">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15.5" x14ac:dyDescent="0.35">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15.5" x14ac:dyDescent="0.35">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15.5" x14ac:dyDescent="0.35">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15.5" x14ac:dyDescent="0.3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15.5" x14ac:dyDescent="0.35">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15.5" x14ac:dyDescent="0.35">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15.5" x14ac:dyDescent="0.35">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15.5" x14ac:dyDescent="0.35">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15.5" x14ac:dyDescent="0.35">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15.5" x14ac:dyDescent="0.35">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15.5" x14ac:dyDescent="0.35">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15.5" x14ac:dyDescent="0.35">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15.5" x14ac:dyDescent="0.35">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15.5" x14ac:dyDescent="0.3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15.5" x14ac:dyDescent="0.35">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15.5" x14ac:dyDescent="0.35">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15.5" x14ac:dyDescent="0.35">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15.5" x14ac:dyDescent="0.35">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15.5" x14ac:dyDescent="0.35">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15.5" x14ac:dyDescent="0.35">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15.5" x14ac:dyDescent="0.35">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15.5" x14ac:dyDescent="0.35">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15.5" x14ac:dyDescent="0.35">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15.5" x14ac:dyDescent="0.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15.5" x14ac:dyDescent="0.35">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15.5" x14ac:dyDescent="0.35">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15.5" x14ac:dyDescent="0.35">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15.5" x14ac:dyDescent="0.35">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15.5" x14ac:dyDescent="0.35">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15.5" x14ac:dyDescent="0.35">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15.5" x14ac:dyDescent="0.35">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15.5" x14ac:dyDescent="0.35">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15.5" x14ac:dyDescent="0.35">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15.5" x14ac:dyDescent="0.3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15.5" x14ac:dyDescent="0.35">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15.5" x14ac:dyDescent="0.35">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15.5" x14ac:dyDescent="0.35">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15.5" x14ac:dyDescent="0.35">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15.5" x14ac:dyDescent="0.35">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15.5" x14ac:dyDescent="0.35">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15.5" x14ac:dyDescent="0.35">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15.5" x14ac:dyDescent="0.35">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15.5" x14ac:dyDescent="0.35">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15.5" x14ac:dyDescent="0.3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5" x14ac:dyDescent="0.35">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5" x14ac:dyDescent="0.35">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5" x14ac:dyDescent="0.35">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5" x14ac:dyDescent="0.35">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5" x14ac:dyDescent="0.35">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5" x14ac:dyDescent="0.35">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5" x14ac:dyDescent="0.35">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5" x14ac:dyDescent="0.35">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5" x14ac:dyDescent="0.35">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5" x14ac:dyDescent="0.3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5" x14ac:dyDescent="0.35">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5" x14ac:dyDescent="0.35">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5" x14ac:dyDescent="0.35">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5" x14ac:dyDescent="0.35">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5" x14ac:dyDescent="0.35">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5" x14ac:dyDescent="0.35">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5" x14ac:dyDescent="0.35">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5" x14ac:dyDescent="0.35">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5" x14ac:dyDescent="0.35">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5" x14ac:dyDescent="0.3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5" x14ac:dyDescent="0.35">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5" x14ac:dyDescent="0.35">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5" x14ac:dyDescent="0.35">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5" x14ac:dyDescent="0.35">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5" x14ac:dyDescent="0.35">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5" x14ac:dyDescent="0.35">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5" x14ac:dyDescent="0.35">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5" x14ac:dyDescent="0.35">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5" x14ac:dyDescent="0.35">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5" x14ac:dyDescent="0.3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5" x14ac:dyDescent="0.35">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5" x14ac:dyDescent="0.35">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5" x14ac:dyDescent="0.35">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5" x14ac:dyDescent="0.35">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5" x14ac:dyDescent="0.35">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5" x14ac:dyDescent="0.35">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5" x14ac:dyDescent="0.35">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5" x14ac:dyDescent="0.35">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5" x14ac:dyDescent="0.35">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5" x14ac:dyDescent="0.3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5" x14ac:dyDescent="0.35">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5" x14ac:dyDescent="0.35">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5" x14ac:dyDescent="0.35">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5" x14ac:dyDescent="0.35">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5" x14ac:dyDescent="0.35">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5" x14ac:dyDescent="0.35">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5" x14ac:dyDescent="0.35">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5" x14ac:dyDescent="0.35">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5" x14ac:dyDescent="0.35">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5" x14ac:dyDescent="0.3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5" x14ac:dyDescent="0.35">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5" x14ac:dyDescent="0.35">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5" x14ac:dyDescent="0.35">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5" x14ac:dyDescent="0.35">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5" x14ac:dyDescent="0.35">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5" x14ac:dyDescent="0.35">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5" x14ac:dyDescent="0.35">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5" x14ac:dyDescent="0.35">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5" x14ac:dyDescent="0.35">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5" x14ac:dyDescent="0.3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5" x14ac:dyDescent="0.35">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5" x14ac:dyDescent="0.35">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5" x14ac:dyDescent="0.35">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5" x14ac:dyDescent="0.35">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5" x14ac:dyDescent="0.35">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5" x14ac:dyDescent="0.35">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5" x14ac:dyDescent="0.35">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5" x14ac:dyDescent="0.35">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5" x14ac:dyDescent="0.35">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5" x14ac:dyDescent="0.3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5" x14ac:dyDescent="0.35">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5" x14ac:dyDescent="0.35">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5" x14ac:dyDescent="0.35">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5" x14ac:dyDescent="0.35">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5" x14ac:dyDescent="0.35">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5" x14ac:dyDescent="0.35">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5" x14ac:dyDescent="0.35">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5" x14ac:dyDescent="0.35">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5" x14ac:dyDescent="0.35">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5" x14ac:dyDescent="0.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5" x14ac:dyDescent="0.35">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5" x14ac:dyDescent="0.35">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5" x14ac:dyDescent="0.35">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5" x14ac:dyDescent="0.35">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5" x14ac:dyDescent="0.35">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5" x14ac:dyDescent="0.35">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5" x14ac:dyDescent="0.35">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5" x14ac:dyDescent="0.35">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5" x14ac:dyDescent="0.35">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5" x14ac:dyDescent="0.3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5" x14ac:dyDescent="0.35">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5" x14ac:dyDescent="0.35">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5" x14ac:dyDescent="0.35">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5" x14ac:dyDescent="0.35">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5" x14ac:dyDescent="0.35">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5" x14ac:dyDescent="0.35">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5" x14ac:dyDescent="0.35">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5" x14ac:dyDescent="0.35">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5" x14ac:dyDescent="0.35">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5" x14ac:dyDescent="0.3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5" x14ac:dyDescent="0.35">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5" x14ac:dyDescent="0.35">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5" x14ac:dyDescent="0.35">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5" x14ac:dyDescent="0.35">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5" x14ac:dyDescent="0.35">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5" x14ac:dyDescent="0.35">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5" x14ac:dyDescent="0.35">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5" x14ac:dyDescent="0.35">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5" x14ac:dyDescent="0.35">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5" x14ac:dyDescent="0.3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5" x14ac:dyDescent="0.35">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5" x14ac:dyDescent="0.35">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5" x14ac:dyDescent="0.35">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5" x14ac:dyDescent="0.35">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5" x14ac:dyDescent="0.35">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5" x14ac:dyDescent="0.35">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5" x14ac:dyDescent="0.35">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5" x14ac:dyDescent="0.35">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5" x14ac:dyDescent="0.35">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5" x14ac:dyDescent="0.3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5" x14ac:dyDescent="0.35">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5" x14ac:dyDescent="0.35">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5" x14ac:dyDescent="0.35">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5" x14ac:dyDescent="0.35">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5" x14ac:dyDescent="0.35">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5" x14ac:dyDescent="0.35">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5" x14ac:dyDescent="0.35">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5" x14ac:dyDescent="0.35">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5" x14ac:dyDescent="0.35">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5" x14ac:dyDescent="0.3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5" x14ac:dyDescent="0.35">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5" x14ac:dyDescent="0.35">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5" x14ac:dyDescent="0.35">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5" x14ac:dyDescent="0.35">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5" x14ac:dyDescent="0.35">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5" x14ac:dyDescent="0.35">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5" x14ac:dyDescent="0.35">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5" x14ac:dyDescent="0.35">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5" x14ac:dyDescent="0.35">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5" x14ac:dyDescent="0.3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5" x14ac:dyDescent="0.35">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5" x14ac:dyDescent="0.35">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5" x14ac:dyDescent="0.35">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5" x14ac:dyDescent="0.35">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5" x14ac:dyDescent="0.35">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5" x14ac:dyDescent="0.35">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5" x14ac:dyDescent="0.35">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5" x14ac:dyDescent="0.35">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5" x14ac:dyDescent="0.35">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5" x14ac:dyDescent="0.3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5" x14ac:dyDescent="0.35">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5" x14ac:dyDescent="0.35">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5" x14ac:dyDescent="0.35">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5" x14ac:dyDescent="0.35">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5" x14ac:dyDescent="0.35">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5" x14ac:dyDescent="0.35">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5" x14ac:dyDescent="0.35">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5" x14ac:dyDescent="0.35">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5" x14ac:dyDescent="0.35">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5" x14ac:dyDescent="0.3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5" x14ac:dyDescent="0.35">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5" x14ac:dyDescent="0.35">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5" x14ac:dyDescent="0.35">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5" x14ac:dyDescent="0.35">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5" x14ac:dyDescent="0.35">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5" x14ac:dyDescent="0.35">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5" x14ac:dyDescent="0.35">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5" x14ac:dyDescent="0.35">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5" x14ac:dyDescent="0.35">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5" x14ac:dyDescent="0.3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5" x14ac:dyDescent="0.35">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5" x14ac:dyDescent="0.35">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5" x14ac:dyDescent="0.35">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5" x14ac:dyDescent="0.35">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5" x14ac:dyDescent="0.35">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5" x14ac:dyDescent="0.35">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5" x14ac:dyDescent="0.35">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5" x14ac:dyDescent="0.35">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5" x14ac:dyDescent="0.35">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5" x14ac:dyDescent="0.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5" x14ac:dyDescent="0.35">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5" x14ac:dyDescent="0.35">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5" x14ac:dyDescent="0.35">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5" x14ac:dyDescent="0.35">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5" x14ac:dyDescent="0.35">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5" x14ac:dyDescent="0.35">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5" x14ac:dyDescent="0.35">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5" x14ac:dyDescent="0.35">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5" x14ac:dyDescent="0.35">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5" x14ac:dyDescent="0.3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5" x14ac:dyDescent="0.35">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5" x14ac:dyDescent="0.35">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5" x14ac:dyDescent="0.35">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5" x14ac:dyDescent="0.35">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5" x14ac:dyDescent="0.35">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5" x14ac:dyDescent="0.35">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5" x14ac:dyDescent="0.35">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5" x14ac:dyDescent="0.35">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5" x14ac:dyDescent="0.35">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5" x14ac:dyDescent="0.3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5" x14ac:dyDescent="0.35">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5" x14ac:dyDescent="0.35">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5" x14ac:dyDescent="0.35">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5" x14ac:dyDescent="0.35">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5" x14ac:dyDescent="0.35">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5" x14ac:dyDescent="0.35">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5" x14ac:dyDescent="0.35">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5" x14ac:dyDescent="0.35">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5" x14ac:dyDescent="0.35">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5" x14ac:dyDescent="0.3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5" x14ac:dyDescent="0.35">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5" x14ac:dyDescent="0.35">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5" x14ac:dyDescent="0.35">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5" x14ac:dyDescent="0.35">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5" x14ac:dyDescent="0.35">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5" x14ac:dyDescent="0.35">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5" x14ac:dyDescent="0.35">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5" x14ac:dyDescent="0.35">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5" x14ac:dyDescent="0.35">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5" x14ac:dyDescent="0.3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5" x14ac:dyDescent="0.35">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5" x14ac:dyDescent="0.35">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5" x14ac:dyDescent="0.35">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5" x14ac:dyDescent="0.35">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5" x14ac:dyDescent="0.35">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5" x14ac:dyDescent="0.35">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5" x14ac:dyDescent="0.35">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5" x14ac:dyDescent="0.35">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5" x14ac:dyDescent="0.35">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5" x14ac:dyDescent="0.3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5" x14ac:dyDescent="0.35">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5" x14ac:dyDescent="0.35">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5" x14ac:dyDescent="0.35">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5" x14ac:dyDescent="0.35">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5" x14ac:dyDescent="0.35">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5" x14ac:dyDescent="0.35">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5" x14ac:dyDescent="0.35">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5" x14ac:dyDescent="0.35">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5" x14ac:dyDescent="0.35">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5" x14ac:dyDescent="0.3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5" x14ac:dyDescent="0.35">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5" x14ac:dyDescent="0.35">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5" x14ac:dyDescent="0.35">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5" x14ac:dyDescent="0.35">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5" x14ac:dyDescent="0.35">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5" x14ac:dyDescent="0.35">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5" x14ac:dyDescent="0.35">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5" x14ac:dyDescent="0.35">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5" x14ac:dyDescent="0.35">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5" x14ac:dyDescent="0.3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5" x14ac:dyDescent="0.35">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5" x14ac:dyDescent="0.35">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5" x14ac:dyDescent="0.35">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5" x14ac:dyDescent="0.35">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5" x14ac:dyDescent="0.35">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5" x14ac:dyDescent="0.35">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5" x14ac:dyDescent="0.35">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5" x14ac:dyDescent="0.35">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5" x14ac:dyDescent="0.35">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5" x14ac:dyDescent="0.3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5" x14ac:dyDescent="0.35">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5" x14ac:dyDescent="0.35">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5" x14ac:dyDescent="0.35">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5" x14ac:dyDescent="0.35">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5" x14ac:dyDescent="0.35">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5" x14ac:dyDescent="0.35">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5" x14ac:dyDescent="0.35">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5" x14ac:dyDescent="0.35">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5" x14ac:dyDescent="0.35">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5" x14ac:dyDescent="0.3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5" x14ac:dyDescent="0.35">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5" x14ac:dyDescent="0.35">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5" x14ac:dyDescent="0.35">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5" x14ac:dyDescent="0.35">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5" x14ac:dyDescent="0.35">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5" x14ac:dyDescent="0.35">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5" x14ac:dyDescent="0.35">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5" x14ac:dyDescent="0.35">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5" x14ac:dyDescent="0.35">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5" x14ac:dyDescent="0.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5" x14ac:dyDescent="0.35">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5" x14ac:dyDescent="0.35">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5" x14ac:dyDescent="0.35">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5" x14ac:dyDescent="0.35">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5" x14ac:dyDescent="0.35">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5" x14ac:dyDescent="0.35">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5" x14ac:dyDescent="0.35">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5" x14ac:dyDescent="0.35">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5" x14ac:dyDescent="0.35">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5" x14ac:dyDescent="0.3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5" x14ac:dyDescent="0.35">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5" x14ac:dyDescent="0.35">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5" x14ac:dyDescent="0.35">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5" x14ac:dyDescent="0.35">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5" x14ac:dyDescent="0.35">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5" x14ac:dyDescent="0.35">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5" x14ac:dyDescent="0.35">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5" x14ac:dyDescent="0.35">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5" x14ac:dyDescent="0.35">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5" x14ac:dyDescent="0.3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5" x14ac:dyDescent="0.35">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5" x14ac:dyDescent="0.35">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5" x14ac:dyDescent="0.35">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5" x14ac:dyDescent="0.35">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5" x14ac:dyDescent="0.35">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5" x14ac:dyDescent="0.35">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5" x14ac:dyDescent="0.35">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5" x14ac:dyDescent="0.35">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5" x14ac:dyDescent="0.35">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5" x14ac:dyDescent="0.3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5" x14ac:dyDescent="0.35">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5" x14ac:dyDescent="0.35">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5" x14ac:dyDescent="0.35">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5" x14ac:dyDescent="0.35">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5" x14ac:dyDescent="0.35">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5" x14ac:dyDescent="0.35">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5" x14ac:dyDescent="0.35">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5" x14ac:dyDescent="0.35">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5" x14ac:dyDescent="0.35">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5" x14ac:dyDescent="0.3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5" x14ac:dyDescent="0.35">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5" x14ac:dyDescent="0.35">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5" x14ac:dyDescent="0.35">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5" x14ac:dyDescent="0.35">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5" x14ac:dyDescent="0.35">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5" x14ac:dyDescent="0.35">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5" x14ac:dyDescent="0.35">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5" x14ac:dyDescent="0.35">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5" x14ac:dyDescent="0.35">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5" x14ac:dyDescent="0.3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5" x14ac:dyDescent="0.35">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5" x14ac:dyDescent="0.35">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5" x14ac:dyDescent="0.35">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5" x14ac:dyDescent="0.35">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5" x14ac:dyDescent="0.35">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5" x14ac:dyDescent="0.35">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5" x14ac:dyDescent="0.35">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5" x14ac:dyDescent="0.35">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5" x14ac:dyDescent="0.35">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5" x14ac:dyDescent="0.3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5" x14ac:dyDescent="0.35">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5" x14ac:dyDescent="0.35">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5" x14ac:dyDescent="0.35">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5" x14ac:dyDescent="0.35">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5" x14ac:dyDescent="0.35">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5" x14ac:dyDescent="0.35">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5" x14ac:dyDescent="0.35">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5" x14ac:dyDescent="0.35">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5" x14ac:dyDescent="0.35">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5" x14ac:dyDescent="0.3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5" x14ac:dyDescent="0.35">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5" x14ac:dyDescent="0.35">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5" x14ac:dyDescent="0.35">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5" x14ac:dyDescent="0.35">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5" x14ac:dyDescent="0.35">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5" x14ac:dyDescent="0.35">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5" x14ac:dyDescent="0.35">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5" x14ac:dyDescent="0.35">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5" x14ac:dyDescent="0.35">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5" x14ac:dyDescent="0.3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5" x14ac:dyDescent="0.35">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5" x14ac:dyDescent="0.35">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5" x14ac:dyDescent="0.35">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5" x14ac:dyDescent="0.35">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5" x14ac:dyDescent="0.35">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5" x14ac:dyDescent="0.35">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5" x14ac:dyDescent="0.35">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5" x14ac:dyDescent="0.35">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5" x14ac:dyDescent="0.35">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5" x14ac:dyDescent="0.3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5" x14ac:dyDescent="0.35">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5" x14ac:dyDescent="0.35">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5" x14ac:dyDescent="0.35">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5" x14ac:dyDescent="0.35">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5" x14ac:dyDescent="0.35">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5" x14ac:dyDescent="0.35">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5" x14ac:dyDescent="0.35">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5" x14ac:dyDescent="0.35">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5" x14ac:dyDescent="0.35">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5" x14ac:dyDescent="0.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5" x14ac:dyDescent="0.35">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5" x14ac:dyDescent="0.35">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5" x14ac:dyDescent="0.35">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5" x14ac:dyDescent="0.35">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5" x14ac:dyDescent="0.35">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5" x14ac:dyDescent="0.35">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5" x14ac:dyDescent="0.35">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5" x14ac:dyDescent="0.35">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5" x14ac:dyDescent="0.35">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5" x14ac:dyDescent="0.3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5" x14ac:dyDescent="0.35">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5" x14ac:dyDescent="0.35">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5" x14ac:dyDescent="0.35">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5" x14ac:dyDescent="0.35">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5" x14ac:dyDescent="0.35">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5" x14ac:dyDescent="0.35">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5" x14ac:dyDescent="0.35">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5" x14ac:dyDescent="0.35">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5" x14ac:dyDescent="0.35">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5" x14ac:dyDescent="0.3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5" x14ac:dyDescent="0.35">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5" x14ac:dyDescent="0.35">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5" x14ac:dyDescent="0.35">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5" x14ac:dyDescent="0.35">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5" x14ac:dyDescent="0.35">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5" x14ac:dyDescent="0.35">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5" x14ac:dyDescent="0.35">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5" x14ac:dyDescent="0.35">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5" x14ac:dyDescent="0.35">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5" x14ac:dyDescent="0.3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5" x14ac:dyDescent="0.35">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5" x14ac:dyDescent="0.35">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5" x14ac:dyDescent="0.35">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5" x14ac:dyDescent="0.35">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5" x14ac:dyDescent="0.35">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5" x14ac:dyDescent="0.35">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5" x14ac:dyDescent="0.35">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5" x14ac:dyDescent="0.35">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5" x14ac:dyDescent="0.35">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5" x14ac:dyDescent="0.3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5" x14ac:dyDescent="0.35">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5" x14ac:dyDescent="0.35">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5" x14ac:dyDescent="0.35">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5" x14ac:dyDescent="0.35">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5" x14ac:dyDescent="0.35">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5" x14ac:dyDescent="0.35">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5" x14ac:dyDescent="0.35">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5" x14ac:dyDescent="0.35">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5" x14ac:dyDescent="0.35">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5" x14ac:dyDescent="0.3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5" x14ac:dyDescent="0.35">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5" x14ac:dyDescent="0.35">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5" x14ac:dyDescent="0.35">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5" x14ac:dyDescent="0.35">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5" x14ac:dyDescent="0.35">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5" x14ac:dyDescent="0.35">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5" x14ac:dyDescent="0.35">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5" x14ac:dyDescent="0.35">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5" x14ac:dyDescent="0.35">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5" x14ac:dyDescent="0.3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5" x14ac:dyDescent="0.35">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5" x14ac:dyDescent="0.35">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5" x14ac:dyDescent="0.35">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5" x14ac:dyDescent="0.35">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5" x14ac:dyDescent="0.35">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5" x14ac:dyDescent="0.35">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5" x14ac:dyDescent="0.35">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5" x14ac:dyDescent="0.35">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5" x14ac:dyDescent="0.35">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5" x14ac:dyDescent="0.3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5" x14ac:dyDescent="0.35">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5" x14ac:dyDescent="0.35">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5" x14ac:dyDescent="0.35">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5" x14ac:dyDescent="0.35">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5" x14ac:dyDescent="0.35">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5" x14ac:dyDescent="0.35">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5" x14ac:dyDescent="0.35">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5" x14ac:dyDescent="0.35">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5" x14ac:dyDescent="0.35">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5" x14ac:dyDescent="0.3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5" x14ac:dyDescent="0.35">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5" x14ac:dyDescent="0.35">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5" x14ac:dyDescent="0.35">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5" x14ac:dyDescent="0.35">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5" x14ac:dyDescent="0.35">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5" x14ac:dyDescent="0.35">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5" x14ac:dyDescent="0.35">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5" x14ac:dyDescent="0.35">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5" x14ac:dyDescent="0.35">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5" x14ac:dyDescent="0.3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5" x14ac:dyDescent="0.35">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5" x14ac:dyDescent="0.35">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5" x14ac:dyDescent="0.35">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5" x14ac:dyDescent="0.35">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5" x14ac:dyDescent="0.35">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5" x14ac:dyDescent="0.35">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5" x14ac:dyDescent="0.35">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5" x14ac:dyDescent="0.35">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5" x14ac:dyDescent="0.35">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5" x14ac:dyDescent="0.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5" x14ac:dyDescent="0.35">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5" x14ac:dyDescent="0.35">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5" x14ac:dyDescent="0.35">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5" x14ac:dyDescent="0.35">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5" x14ac:dyDescent="0.35">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5" x14ac:dyDescent="0.35">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5" x14ac:dyDescent="0.35">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5" x14ac:dyDescent="0.35">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5" x14ac:dyDescent="0.35">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5" x14ac:dyDescent="0.3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5" x14ac:dyDescent="0.35">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5" x14ac:dyDescent="0.35">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5" x14ac:dyDescent="0.35">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5" x14ac:dyDescent="0.35">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5" x14ac:dyDescent="0.35">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5" x14ac:dyDescent="0.35">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5" x14ac:dyDescent="0.35">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5" x14ac:dyDescent="0.35">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5" x14ac:dyDescent="0.35">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5" x14ac:dyDescent="0.3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5" x14ac:dyDescent="0.35">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5" x14ac:dyDescent="0.35">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5" x14ac:dyDescent="0.35">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5" x14ac:dyDescent="0.35">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5" x14ac:dyDescent="0.35">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5" x14ac:dyDescent="0.35">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5" x14ac:dyDescent="0.35">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5" x14ac:dyDescent="0.35">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5" x14ac:dyDescent="0.35">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5" x14ac:dyDescent="0.3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5" x14ac:dyDescent="0.35">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5" x14ac:dyDescent="0.35">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5" x14ac:dyDescent="0.35">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5" x14ac:dyDescent="0.35">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5" x14ac:dyDescent="0.35">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5" x14ac:dyDescent="0.35">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5" x14ac:dyDescent="0.35">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5" x14ac:dyDescent="0.35">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5" x14ac:dyDescent="0.35">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5" x14ac:dyDescent="0.3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5" x14ac:dyDescent="0.35">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5" x14ac:dyDescent="0.35">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5" x14ac:dyDescent="0.35">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5" x14ac:dyDescent="0.35">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5" x14ac:dyDescent="0.35">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5" x14ac:dyDescent="0.35">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5" x14ac:dyDescent="0.35">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5" x14ac:dyDescent="0.35">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5" x14ac:dyDescent="0.35">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5" x14ac:dyDescent="0.3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5" x14ac:dyDescent="0.35">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5" x14ac:dyDescent="0.35">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5" x14ac:dyDescent="0.35">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5" x14ac:dyDescent="0.35">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5" x14ac:dyDescent="0.35">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5" x14ac:dyDescent="0.35">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5" x14ac:dyDescent="0.35">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5" x14ac:dyDescent="0.35">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5" x14ac:dyDescent="0.35">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5" x14ac:dyDescent="0.3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spans="1:26" ht="15.5" x14ac:dyDescent="0.35">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spans="1:26" ht="15.5" x14ac:dyDescent="0.35">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spans="1:26" ht="15.5" x14ac:dyDescent="0.35">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spans="1:26" ht="15.5" x14ac:dyDescent="0.35">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spans="1:26" ht="15.75" customHeight="1" x14ac:dyDescent="0.35">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row r="1001" spans="1:26" ht="15.75" customHeight="1" x14ac:dyDescent="0.35">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row>
    <row r="1002" spans="1:26" ht="15.75" customHeight="1" x14ac:dyDescent="0.35">
      <c r="A1002" s="20"/>
      <c r="B1002" s="20"/>
      <c r="C1002" s="20"/>
      <c r="D1002" s="20"/>
      <c r="E1002" s="20"/>
      <c r="F1002" s="20"/>
      <c r="G1002" s="20"/>
      <c r="H1002" s="20"/>
      <c r="I1002" s="20"/>
      <c r="J1002" s="20"/>
      <c r="K1002" s="20"/>
      <c r="L1002" s="20"/>
      <c r="M1002" s="20"/>
      <c r="N1002" s="20"/>
      <c r="O1002" s="20"/>
      <c r="P1002" s="20"/>
      <c r="Q1002" s="20"/>
      <c r="R1002" s="20"/>
      <c r="S1002" s="20"/>
      <c r="T1002" s="20"/>
      <c r="U1002" s="20"/>
      <c r="V1002" s="20"/>
      <c r="W1002" s="20"/>
      <c r="X1002" s="20"/>
      <c r="Y1002" s="20"/>
      <c r="Z1002" s="20"/>
    </row>
    <row r="1003" spans="1:26" ht="15.75" customHeight="1" x14ac:dyDescent="0.35">
      <c r="A1003" s="20"/>
      <c r="B1003" s="20"/>
      <c r="C1003" s="20"/>
      <c r="D1003" s="20"/>
      <c r="E1003" s="20"/>
      <c r="F1003" s="20"/>
      <c r="G1003" s="20"/>
      <c r="H1003" s="20"/>
      <c r="I1003" s="20"/>
      <c r="J1003" s="20"/>
      <c r="K1003" s="20"/>
      <c r="L1003" s="20"/>
      <c r="M1003" s="20"/>
      <c r="N1003" s="20"/>
      <c r="O1003" s="20"/>
      <c r="P1003" s="20"/>
      <c r="Q1003" s="20"/>
      <c r="R1003" s="20"/>
      <c r="S1003" s="20"/>
      <c r="T1003" s="20"/>
      <c r="U1003" s="20"/>
      <c r="V1003" s="20"/>
      <c r="W1003" s="20"/>
      <c r="X1003" s="20"/>
      <c r="Y1003" s="20"/>
      <c r="Z1003" s="20"/>
    </row>
    <row r="1004" spans="1:26" ht="15.75" customHeight="1" x14ac:dyDescent="0.35">
      <c r="A1004" s="20"/>
      <c r="B1004" s="20"/>
      <c r="C1004" s="20"/>
      <c r="D1004" s="20"/>
      <c r="E1004" s="20"/>
      <c r="F1004" s="20"/>
      <c r="G1004" s="20"/>
      <c r="H1004" s="20"/>
      <c r="I1004" s="20"/>
      <c r="J1004" s="20"/>
      <c r="K1004" s="20"/>
      <c r="L1004" s="20"/>
      <c r="M1004" s="20"/>
      <c r="N1004" s="20"/>
      <c r="O1004" s="20"/>
      <c r="P1004" s="20"/>
      <c r="Q1004" s="20"/>
      <c r="R1004" s="20"/>
      <c r="S1004" s="20"/>
      <c r="T1004" s="20"/>
      <c r="U1004" s="20"/>
      <c r="V1004" s="20"/>
      <c r="W1004" s="20"/>
      <c r="X1004" s="20"/>
      <c r="Y1004" s="20"/>
      <c r="Z1004" s="20"/>
    </row>
    <row r="1005" spans="1:26" ht="15.75" customHeight="1" x14ac:dyDescent="0.35">
      <c r="A1005" s="20"/>
      <c r="B1005" s="20"/>
      <c r="C1005" s="20"/>
      <c r="D1005" s="20"/>
      <c r="E1005" s="20"/>
      <c r="F1005" s="20"/>
      <c r="G1005" s="20"/>
      <c r="H1005" s="20"/>
      <c r="I1005" s="20"/>
      <c r="J1005" s="20"/>
      <c r="K1005" s="20"/>
      <c r="L1005" s="20"/>
      <c r="M1005" s="20"/>
      <c r="N1005" s="20"/>
      <c r="O1005" s="20"/>
      <c r="P1005" s="20"/>
      <c r="Q1005" s="20"/>
      <c r="R1005" s="20"/>
      <c r="S1005" s="20"/>
      <c r="T1005" s="20"/>
      <c r="U1005" s="20"/>
      <c r="V1005" s="20"/>
      <c r="W1005" s="20"/>
      <c r="X1005" s="20"/>
      <c r="Y1005" s="20"/>
      <c r="Z1005" s="20"/>
    </row>
    <row r="1006" spans="1:26" ht="15.75" customHeight="1" x14ac:dyDescent="0.35">
      <c r="A1006" s="20"/>
      <c r="B1006" s="20"/>
      <c r="C1006" s="20"/>
      <c r="D1006" s="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row>
  </sheetData>
  <mergeCells count="20">
    <mergeCell ref="B41:K41"/>
    <mergeCell ref="B48:K48"/>
    <mergeCell ref="B53:K53"/>
    <mergeCell ref="B17:K17"/>
    <mergeCell ref="B20:K20"/>
    <mergeCell ref="B22:K22"/>
    <mergeCell ref="B24:K24"/>
    <mergeCell ref="B27:K27"/>
    <mergeCell ref="B29:K29"/>
    <mergeCell ref="B31:K31"/>
    <mergeCell ref="B12:K12"/>
    <mergeCell ref="B15:K15"/>
    <mergeCell ref="B33:K33"/>
    <mergeCell ref="B36:K36"/>
    <mergeCell ref="B39:K39"/>
    <mergeCell ref="B2:K2"/>
    <mergeCell ref="B4:K4"/>
    <mergeCell ref="B6:K6"/>
    <mergeCell ref="B8:K8"/>
    <mergeCell ref="B10:K10"/>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D1:Y1000"/>
  <sheetViews>
    <sheetView workbookViewId="0"/>
  </sheetViews>
  <sheetFormatPr defaultColWidth="14.3984375" defaultRowHeight="15" customHeight="1" x14ac:dyDescent="0.3"/>
  <cols>
    <col min="1" max="3" width="8.69921875" customWidth="1"/>
    <col min="4" max="4" width="60.09765625" customWidth="1"/>
    <col min="5" max="5" width="2.8984375" customWidth="1"/>
    <col min="6" max="6" width="23.8984375" customWidth="1"/>
    <col min="7" max="7" width="18.09765625" customWidth="1"/>
    <col min="8" max="8" width="17.8984375" customWidth="1"/>
    <col min="9" max="9" width="18.8984375" customWidth="1"/>
    <col min="10" max="10" width="15.69921875" customWidth="1"/>
    <col min="11" max="11" width="14.09765625" customWidth="1"/>
    <col min="12" max="12" width="13.3984375" customWidth="1"/>
    <col min="13" max="13" width="13.69921875" customWidth="1"/>
    <col min="14" max="14" width="14.8984375" customWidth="1"/>
    <col min="15" max="15" width="15.69921875" customWidth="1"/>
    <col min="16" max="17" width="14.8984375" customWidth="1"/>
    <col min="18" max="18" width="13.3984375" customWidth="1"/>
    <col min="19" max="19" width="14.296875" customWidth="1"/>
    <col min="20" max="26" width="8.69921875" customWidth="1"/>
  </cols>
  <sheetData>
    <row r="1" spans="4:19" ht="12.75" customHeight="1" x14ac:dyDescent="0.3"/>
    <row r="2" spans="4:19" ht="12.75" customHeight="1" x14ac:dyDescent="0.3"/>
    <row r="3" spans="4:19" ht="12.75" customHeight="1" x14ac:dyDescent="0.3">
      <c r="D3" s="474" t="s">
        <v>515</v>
      </c>
      <c r="E3" s="475" t="s">
        <v>561</v>
      </c>
      <c r="F3" s="476">
        <v>2019</v>
      </c>
      <c r="G3" s="476">
        <v>2020</v>
      </c>
      <c r="H3" s="476">
        <v>2021</v>
      </c>
      <c r="I3" s="477" t="s">
        <v>562</v>
      </c>
      <c r="J3" s="476">
        <v>2022</v>
      </c>
      <c r="K3" s="476">
        <v>2023</v>
      </c>
      <c r="L3" s="476">
        <v>2024</v>
      </c>
      <c r="M3" s="476">
        <v>2025</v>
      </c>
      <c r="N3" s="476">
        <v>2026</v>
      </c>
      <c r="O3" s="476">
        <v>2027</v>
      </c>
      <c r="P3" s="476">
        <v>2028</v>
      </c>
      <c r="Q3" s="476">
        <v>2029</v>
      </c>
      <c r="R3" s="476">
        <v>2030</v>
      </c>
      <c r="S3" s="477">
        <v>2031</v>
      </c>
    </row>
    <row r="4" spans="4:19" ht="12.75" customHeight="1" x14ac:dyDescent="0.3">
      <c r="D4" s="478" t="s">
        <v>563</v>
      </c>
      <c r="E4" s="262" t="s">
        <v>94</v>
      </c>
      <c r="F4" s="375">
        <f>'Patient Care items(all)'!B12</f>
        <v>1236473</v>
      </c>
      <c r="G4" s="375">
        <f>'Patient Care items(all)'!C12</f>
        <v>1142670</v>
      </c>
      <c r="H4" s="375">
        <f>'Patient Care items(all)'!D12</f>
        <v>1152258</v>
      </c>
      <c r="I4" s="479"/>
      <c r="J4" s="429">
        <f>'1.Red. Purch. Cost Patient Care'!G84</f>
        <v>10500</v>
      </c>
      <c r="K4" s="429">
        <f>'1.Red. Purch. Cost Patient Care'!H84</f>
        <v>11025</v>
      </c>
      <c r="L4" s="429">
        <f>'1.Red. Purch. Cost Patient Care'!I84</f>
        <v>11576.25</v>
      </c>
      <c r="M4" s="429">
        <f>'1.Red. Purch. Cost Patient Care'!J84</f>
        <v>12155.062500000002</v>
      </c>
      <c r="N4" s="429">
        <f>'1.Red. Purch. Cost Patient Care'!K84</f>
        <v>12762.815625000003</v>
      </c>
      <c r="O4" s="429">
        <f>'1.Red. Purch. Cost Patient Care'!L84</f>
        <v>13400.956406250005</v>
      </c>
      <c r="P4" s="429">
        <f>'1.Red. Purch. Cost Patient Care'!M84</f>
        <v>14071.004226562507</v>
      </c>
      <c r="Q4" s="429">
        <f>'1.Red. Purch. Cost Patient Care'!N84</f>
        <v>14774.554437890634</v>
      </c>
      <c r="R4" s="429">
        <f>'1.Red. Purch. Cost Patient Care'!O84</f>
        <v>15513.28215978516</v>
      </c>
      <c r="S4" s="480">
        <f>'1.Red. Purch. Cost Patient Care'!P84</f>
        <v>16288.946267774425</v>
      </c>
    </row>
    <row r="5" spans="4:19" ht="12.75" customHeight="1" x14ac:dyDescent="0.3">
      <c r="D5" s="478" t="s">
        <v>564</v>
      </c>
      <c r="E5" s="262" t="s">
        <v>94</v>
      </c>
      <c r="F5" s="429">
        <f>'Total S&amp;Vdevices'!D18</f>
        <v>5252221</v>
      </c>
      <c r="G5" s="429">
        <f>'Total S&amp;Vdevices'!E18</f>
        <v>4938423</v>
      </c>
      <c r="H5" s="429">
        <f>'Total S&amp;Vdevices'!F18</f>
        <v>5206013.5</v>
      </c>
      <c r="I5" s="479"/>
      <c r="J5" s="429">
        <f>'OLD Purchase Cost Surgica'!G113+'1.Red. Purchase Cost Vasc.'!D67</f>
        <v>5389169.5495685712</v>
      </c>
      <c r="K5" s="429">
        <f>'OLD Purchase Cost Surgica'!H113+'1.Red. Purchase Cost Vasc.'!E67</f>
        <v>5603835.7936236728</v>
      </c>
      <c r="L5" s="429">
        <f>'OLD Purchase Cost Surgica'!I113+'1.Red. Purchase Cost Vasc.'!F67</f>
        <v>5849106.2595317438</v>
      </c>
      <c r="M5" s="429">
        <f>'OLD Purchase Cost Surgica'!J113+'1.Red. Purchase Cost Vasc.'!G67</f>
        <v>6112900.951836626</v>
      </c>
      <c r="N5" s="429">
        <f>'OLD Purchase Cost Surgica'!K113+'1.Red. Purchase Cost Vasc.'!H67</f>
        <v>6388592.7847644566</v>
      </c>
      <c r="O5" s="429">
        <f>'OLD Purchase Cost Surgica'!L113+'1.Red. Purchase Cost Vasc.'!I67</f>
        <v>6676718.3193573328</v>
      </c>
      <c r="P5" s="429">
        <f>'OLD Purchase Cost Surgica'!M113+'1.Red. Purchase Cost Vasc.'!J67</f>
        <v>6977838.3155603474</v>
      </c>
      <c r="Q5" s="429">
        <f>'OLD Purchase Cost Surgica'!N113+'1.Red. Purchase Cost Vasc.'!K67</f>
        <v>7292538.8235921189</v>
      </c>
      <c r="R5" s="429">
        <f>'OLD Purchase Cost Surgica'!O113+'1.Red. Purchase Cost Vasc.'!L67</f>
        <v>7621432.3245361242</v>
      </c>
      <c r="S5" s="480">
        <f>'OLD Purchase Cost Surgica'!P113+'1.Red. Purchase Cost Vasc.'!M67</f>
        <v>7965158.9223727025</v>
      </c>
    </row>
    <row r="6" spans="4:19" ht="12.75" customHeight="1" x14ac:dyDescent="0.3">
      <c r="D6" s="478"/>
      <c r="E6" s="366"/>
      <c r="F6" s="481">
        <f t="shared" ref="F6:H6" si="0">F4+F5</f>
        <v>6488694</v>
      </c>
      <c r="G6" s="481">
        <f t="shared" si="0"/>
        <v>6081093</v>
      </c>
      <c r="H6" s="481">
        <f t="shared" si="0"/>
        <v>6358271.5</v>
      </c>
      <c r="I6" s="482">
        <f>AVERAGE(F6:H6)</f>
        <v>6309352.833333333</v>
      </c>
      <c r="J6" s="481">
        <f t="shared" ref="J6:S6" si="1">J4+J5</f>
        <v>5399669.5495685712</v>
      </c>
      <c r="K6" s="481">
        <f t="shared" si="1"/>
        <v>5614860.7936236728</v>
      </c>
      <c r="L6" s="481">
        <f t="shared" si="1"/>
        <v>5860682.5095317438</v>
      </c>
      <c r="M6" s="481">
        <f t="shared" si="1"/>
        <v>6125056.014336626</v>
      </c>
      <c r="N6" s="481">
        <f t="shared" si="1"/>
        <v>6401355.6003894564</v>
      </c>
      <c r="O6" s="481">
        <f t="shared" si="1"/>
        <v>6690119.2757635824</v>
      </c>
      <c r="P6" s="481">
        <f t="shared" si="1"/>
        <v>6991909.31978691</v>
      </c>
      <c r="Q6" s="481">
        <f t="shared" si="1"/>
        <v>7307313.3780300096</v>
      </c>
      <c r="R6" s="481">
        <f t="shared" si="1"/>
        <v>7636945.6066959091</v>
      </c>
      <c r="S6" s="482">
        <f t="shared" si="1"/>
        <v>7981447.8686404768</v>
      </c>
    </row>
    <row r="7" spans="4:19" ht="12.75" customHeight="1" x14ac:dyDescent="0.3">
      <c r="D7" s="478"/>
      <c r="E7" s="366"/>
      <c r="F7" s="429"/>
      <c r="G7" s="429"/>
      <c r="H7" s="429"/>
      <c r="I7" s="483">
        <f>(H6/F6)^(1/2)-1</f>
        <v>-1.0100995840441329E-2</v>
      </c>
      <c r="J7" s="366"/>
      <c r="K7" s="366"/>
      <c r="L7" s="366"/>
      <c r="M7" s="366"/>
      <c r="N7" s="366"/>
      <c r="O7" s="366"/>
      <c r="P7" s="366"/>
      <c r="Q7" s="366"/>
      <c r="R7" s="366"/>
      <c r="S7" s="479"/>
    </row>
    <row r="8" spans="4:19" ht="12.75" customHeight="1" x14ac:dyDescent="0.3">
      <c r="D8" s="484" t="s">
        <v>565</v>
      </c>
      <c r="E8" s="364"/>
      <c r="F8" s="364">
        <v>2019</v>
      </c>
      <c r="G8" s="364">
        <v>2020</v>
      </c>
      <c r="H8" s="364">
        <v>2021</v>
      </c>
      <c r="I8" s="479"/>
      <c r="J8" s="366"/>
      <c r="K8" s="366"/>
      <c r="L8" s="366"/>
      <c r="M8" s="366"/>
      <c r="N8" s="366"/>
      <c r="O8" s="366"/>
      <c r="P8" s="366"/>
      <c r="Q8" s="366"/>
      <c r="R8" s="366"/>
      <c r="S8" s="479"/>
    </row>
    <row r="9" spans="4:19" ht="12.75" customHeight="1" x14ac:dyDescent="0.3">
      <c r="D9" s="478" t="s">
        <v>563</v>
      </c>
      <c r="E9" s="262" t="s">
        <v>94</v>
      </c>
      <c r="F9" s="375">
        <f>'Patient Care items(all)'!B23</f>
        <v>223446</v>
      </c>
      <c r="G9" s="375">
        <f>'Patient Care items(all)'!C23</f>
        <v>158091</v>
      </c>
      <c r="H9" s="375">
        <f>'Patient Care items(all)'!D23</f>
        <v>211563</v>
      </c>
      <c r="I9" s="479"/>
      <c r="J9" s="407">
        <f>'1.Red. Purch. Cost Patient Care'!G107</f>
        <v>1050</v>
      </c>
      <c r="K9" s="407">
        <f>'1.Red. Purch. Cost Patient Care'!H107</f>
        <v>1102.5</v>
      </c>
      <c r="L9" s="407">
        <f>'1.Red. Purch. Cost Patient Care'!I107</f>
        <v>1157.6250000000002</v>
      </c>
      <c r="M9" s="407">
        <f>'1.Red. Purch. Cost Patient Care'!J107</f>
        <v>1215.5062500000001</v>
      </c>
      <c r="N9" s="407">
        <f>'1.Red. Purch. Cost Patient Care'!K107</f>
        <v>1276.2815625000005</v>
      </c>
      <c r="O9" s="407">
        <f>'1.Red. Purch. Cost Patient Care'!L107</f>
        <v>1340.095640625</v>
      </c>
      <c r="P9" s="407">
        <f>'1.Red. Purch. Cost Patient Care'!M107</f>
        <v>1407.1004226562507</v>
      </c>
      <c r="Q9" s="407">
        <f>'1.Red. Purch. Cost Patient Care'!N107</f>
        <v>1477.4554437890631</v>
      </c>
      <c r="R9" s="407">
        <f>'1.Red. Purch. Cost Patient Care'!O107</f>
        <v>1551.3282159785165</v>
      </c>
      <c r="S9" s="485">
        <f>'1.Red. Purch. Cost Patient Care'!P107</f>
        <v>1628.894626777442</v>
      </c>
    </row>
    <row r="10" spans="4:19" ht="12.75" customHeight="1" x14ac:dyDescent="0.3">
      <c r="D10" s="478" t="s">
        <v>564</v>
      </c>
      <c r="E10" s="262" t="s">
        <v>94</v>
      </c>
      <c r="F10" s="429">
        <f>'Total S&amp;Vdevices'!D59</f>
        <v>39057</v>
      </c>
      <c r="G10" s="429">
        <f>'Total S&amp;Vdevices'!E59</f>
        <v>28012</v>
      </c>
      <c r="H10" s="429">
        <f>'Total S&amp;Vdevices'!F59</f>
        <v>30197</v>
      </c>
      <c r="I10" s="479"/>
      <c r="J10" s="407">
        <f>'OLD Purchase Cost Surgica'!G145+'1.Red. Purchase Cost Vasc.'!G81</f>
        <v>31706.850000000002</v>
      </c>
      <c r="K10" s="407">
        <f>'OLD Purchase Cost Surgica'!H145+'1.Red. Purchase Cost Vasc.'!H81</f>
        <v>33292.192500000005</v>
      </c>
      <c r="L10" s="407">
        <f>'OLD Purchase Cost Surgica'!I145+'1.Red. Purchase Cost Vasc.'!I81</f>
        <v>34956.802125000009</v>
      </c>
      <c r="M10" s="407">
        <f>'OLD Purchase Cost Surgica'!J145+'1.Red. Purchase Cost Vasc.'!J81</f>
        <v>36704.642231250007</v>
      </c>
      <c r="N10" s="407">
        <f>'OLD Purchase Cost Surgica'!K145+'1.Red. Purchase Cost Vasc.'!K81</f>
        <v>38539.874342812509</v>
      </c>
      <c r="O10" s="407">
        <f>'OLD Purchase Cost Surgica'!L145+'1.Red. Purchase Cost Vasc.'!L81</f>
        <v>40466.868059953144</v>
      </c>
      <c r="P10" s="407">
        <f>'OLD Purchase Cost Surgica'!M145+'1.Red. Purchase Cost Vasc.'!M81</f>
        <v>42490.211462950792</v>
      </c>
      <c r="Q10" s="407">
        <f>'OLD Purchase Cost Surgica'!N145+'1.Red. Purchase Cost Vasc.'!N81</f>
        <v>44614.722036098334</v>
      </c>
      <c r="R10" s="407">
        <f>'OLD Purchase Cost Surgica'!O145+'1.Red. Purchase Cost Vasc.'!O81</f>
        <v>46845.458137903261</v>
      </c>
      <c r="S10" s="485">
        <f>'OLD Purchase Cost Surgica'!P145+'1.Red. Purchase Cost Vasc.'!P81</f>
        <v>49187.731044798413</v>
      </c>
    </row>
    <row r="11" spans="4:19" ht="12.75" customHeight="1" x14ac:dyDescent="0.3">
      <c r="D11" s="478"/>
      <c r="E11" s="366"/>
      <c r="F11" s="481">
        <f t="shared" ref="F11:H11" si="2">F9+F10</f>
        <v>262503</v>
      </c>
      <c r="G11" s="481">
        <f t="shared" si="2"/>
        <v>186103</v>
      </c>
      <c r="H11" s="481">
        <f t="shared" si="2"/>
        <v>241760</v>
      </c>
      <c r="I11" s="482">
        <f>AVERAGE(F11:H11)</f>
        <v>230122</v>
      </c>
      <c r="J11" s="481">
        <f t="shared" ref="J11:S11" si="3">J9+J10</f>
        <v>32756.850000000002</v>
      </c>
      <c r="K11" s="481">
        <f t="shared" si="3"/>
        <v>34394.692500000005</v>
      </c>
      <c r="L11" s="481">
        <f t="shared" si="3"/>
        <v>36114.427125000009</v>
      </c>
      <c r="M11" s="481">
        <f t="shared" si="3"/>
        <v>37920.148481250006</v>
      </c>
      <c r="N11" s="481">
        <f t="shared" si="3"/>
        <v>39816.155905312509</v>
      </c>
      <c r="O11" s="481">
        <f t="shared" si="3"/>
        <v>41806.963700578141</v>
      </c>
      <c r="P11" s="481">
        <f t="shared" si="3"/>
        <v>43897.311885607043</v>
      </c>
      <c r="Q11" s="481">
        <f t="shared" si="3"/>
        <v>46092.177479887396</v>
      </c>
      <c r="R11" s="481">
        <f t="shared" si="3"/>
        <v>48396.786353881776</v>
      </c>
      <c r="S11" s="482">
        <f t="shared" si="3"/>
        <v>50816.625671575857</v>
      </c>
    </row>
    <row r="12" spans="4:19" ht="12.75" customHeight="1" x14ac:dyDescent="0.3">
      <c r="D12" s="484" t="s">
        <v>566</v>
      </c>
      <c r="E12" s="364"/>
      <c r="F12" s="366"/>
      <c r="G12" s="366"/>
      <c r="H12" s="366"/>
      <c r="I12" s="479"/>
      <c r="J12" s="366"/>
      <c r="K12" s="366"/>
      <c r="L12" s="366"/>
      <c r="M12" s="366"/>
      <c r="N12" s="366"/>
      <c r="O12" s="366"/>
      <c r="P12" s="366"/>
      <c r="Q12" s="366"/>
      <c r="R12" s="366"/>
      <c r="S12" s="479"/>
    </row>
    <row r="13" spans="4:19" ht="12.75" customHeight="1" x14ac:dyDescent="0.3">
      <c r="D13" s="478" t="s">
        <v>567</v>
      </c>
      <c r="E13" s="262" t="s">
        <v>94</v>
      </c>
      <c r="F13" s="486">
        <f t="shared" ref="F13:H13" si="4">F9/F4</f>
        <v>0.18071239727838781</v>
      </c>
      <c r="G13" s="486">
        <f t="shared" si="4"/>
        <v>0.13835228018588044</v>
      </c>
      <c r="H13" s="486">
        <f t="shared" si="4"/>
        <v>0.18360731711127196</v>
      </c>
      <c r="I13" s="483">
        <f>AVERAGE(F13:H13)</f>
        <v>0.16755733152518007</v>
      </c>
      <c r="J13" s="486">
        <f t="shared" ref="J13:S13" si="5">J9/J4</f>
        <v>0.1</v>
      </c>
      <c r="K13" s="486">
        <f t="shared" si="5"/>
        <v>0.1</v>
      </c>
      <c r="L13" s="486">
        <f t="shared" si="5"/>
        <v>0.10000000000000002</v>
      </c>
      <c r="M13" s="486">
        <f t="shared" si="5"/>
        <v>9.9999999999999992E-2</v>
      </c>
      <c r="N13" s="486">
        <f t="shared" si="5"/>
        <v>0.10000000000000002</v>
      </c>
      <c r="O13" s="486">
        <f t="shared" si="5"/>
        <v>9.9999999999999964E-2</v>
      </c>
      <c r="P13" s="486">
        <f t="shared" si="5"/>
        <v>9.9999999999999992E-2</v>
      </c>
      <c r="Q13" s="486">
        <f t="shared" si="5"/>
        <v>9.9999999999999978E-2</v>
      </c>
      <c r="R13" s="486">
        <f t="shared" si="5"/>
        <v>0.10000000000000003</v>
      </c>
      <c r="S13" s="483">
        <f t="shared" si="5"/>
        <v>9.9999999999999964E-2</v>
      </c>
    </row>
    <row r="14" spans="4:19" ht="12.75" customHeight="1" x14ac:dyDescent="0.3">
      <c r="D14" s="478" t="s">
        <v>568</v>
      </c>
      <c r="E14" s="262" t="s">
        <v>94</v>
      </c>
      <c r="F14" s="486">
        <f t="shared" ref="F14:H14" si="6">F10/F5</f>
        <v>7.4362826697505682E-3</v>
      </c>
      <c r="G14" s="486">
        <f t="shared" si="6"/>
        <v>5.6722561028085278E-3</v>
      </c>
      <c r="H14" s="486">
        <f t="shared" si="6"/>
        <v>5.8004075479251059E-3</v>
      </c>
      <c r="I14" s="479"/>
      <c r="J14" s="486">
        <f t="shared" ref="J14:S14" si="7">J10/J5</f>
        <v>5.883438943304036E-3</v>
      </c>
      <c r="K14" s="486">
        <f t="shared" si="7"/>
        <v>5.9409650328943507E-3</v>
      </c>
      <c r="L14" s="486">
        <f t="shared" si="7"/>
        <v>5.9764347874573425E-3</v>
      </c>
      <c r="M14" s="486">
        <f t="shared" si="7"/>
        <v>6.004455580164777E-3</v>
      </c>
      <c r="N14" s="486">
        <f t="shared" si="7"/>
        <v>6.0326077496632071E-3</v>
      </c>
      <c r="O14" s="486">
        <f t="shared" si="7"/>
        <v>6.0608919119188301E-3</v>
      </c>
      <c r="P14" s="486">
        <f t="shared" si="7"/>
        <v>6.0893086857858308E-3</v>
      </c>
      <c r="Q14" s="486">
        <f t="shared" si="7"/>
        <v>6.1178586930199239E-3</v>
      </c>
      <c r="R14" s="486">
        <f t="shared" si="7"/>
        <v>6.146542558291954E-3</v>
      </c>
      <c r="S14" s="483">
        <f t="shared" si="7"/>
        <v>6.1753609092015599E-3</v>
      </c>
    </row>
    <row r="15" spans="4:19" ht="12.75" customHeight="1" x14ac:dyDescent="0.3">
      <c r="D15" s="487"/>
      <c r="E15" s="488"/>
      <c r="F15" s="489">
        <f t="shared" ref="F15:S15" si="8">F11/F6</f>
        <v>4.045544450085025E-2</v>
      </c>
      <c r="G15" s="489">
        <f t="shared" si="8"/>
        <v>3.0603544461497299E-2</v>
      </c>
      <c r="H15" s="489">
        <f t="shared" si="8"/>
        <v>3.8022912359121502E-2</v>
      </c>
      <c r="I15" s="490">
        <f t="shared" si="8"/>
        <v>3.6473154391402585E-2</v>
      </c>
      <c r="J15" s="489">
        <f t="shared" si="8"/>
        <v>6.0664545671349915E-3</v>
      </c>
      <c r="K15" s="489">
        <f t="shared" si="8"/>
        <v>6.1256536473814592E-3</v>
      </c>
      <c r="L15" s="489">
        <f t="shared" si="8"/>
        <v>6.1621538218908697E-3</v>
      </c>
      <c r="M15" s="489">
        <f t="shared" si="8"/>
        <v>6.190988032189767E-3</v>
      </c>
      <c r="N15" s="489">
        <f t="shared" si="8"/>
        <v>6.219956895206713E-3</v>
      </c>
      <c r="O15" s="489">
        <f t="shared" si="8"/>
        <v>6.2490610372273915E-3</v>
      </c>
      <c r="P15" s="489">
        <f t="shared" si="8"/>
        <v>6.2783010874267013E-3</v>
      </c>
      <c r="Q15" s="489">
        <f t="shared" si="8"/>
        <v>6.307677677881862E-3</v>
      </c>
      <c r="R15" s="489">
        <f t="shared" si="8"/>
        <v>6.337191443585577E-3</v>
      </c>
      <c r="S15" s="490">
        <f t="shared" si="8"/>
        <v>6.3668430224592485E-3</v>
      </c>
    </row>
    <row r="16" spans="4:19" ht="12.75" customHeight="1" x14ac:dyDescent="0.3">
      <c r="F16" s="364"/>
      <c r="G16" s="364"/>
      <c r="H16" s="364"/>
    </row>
    <row r="17" spans="4:25" ht="12.75" customHeight="1" x14ac:dyDescent="0.3">
      <c r="D17" s="474" t="s">
        <v>515</v>
      </c>
      <c r="E17" s="475" t="s">
        <v>143</v>
      </c>
      <c r="F17" s="476">
        <v>2019</v>
      </c>
      <c r="G17" s="476">
        <v>2020</v>
      </c>
      <c r="H17" s="476">
        <v>2021</v>
      </c>
      <c r="I17" s="477" t="s">
        <v>562</v>
      </c>
      <c r="J17" s="491"/>
      <c r="K17" s="491"/>
      <c r="L17" s="491"/>
      <c r="M17" s="491"/>
      <c r="N17" s="491"/>
      <c r="O17" s="491"/>
      <c r="P17" s="491"/>
      <c r="Q17" s="491"/>
      <c r="R17" s="491"/>
      <c r="S17" s="492"/>
    </row>
    <row r="18" spans="4:25" ht="12.75" customHeight="1" x14ac:dyDescent="0.3">
      <c r="D18" s="478" t="s">
        <v>569</v>
      </c>
      <c r="E18" s="262" t="s">
        <v>202</v>
      </c>
      <c r="F18" s="375">
        <f>'Patient Care items(all)'!B90*'Patient Care items(all)'!B12</f>
        <v>13407671.478985323</v>
      </c>
      <c r="G18" s="375">
        <f>'Patient Care items(all)'!C90*'Patient Care items(all)'!C12</f>
        <v>12355199.923081908</v>
      </c>
      <c r="H18" s="375">
        <f>'Patient Care items(all)'!D90*'Patient Care items(all)'!D12</f>
        <v>12474562.875598967</v>
      </c>
      <c r="I18" s="479"/>
      <c r="J18" s="392">
        <f>'1.Red. Purch. Cost Patient Care'!G74*'1.Red. Purch. Cost Patient Care'!G86+'1.Red. Purch. Cost Patient Care'!G75*'1.Red. Purch. Cost Patient Care'!G87+'1.Red. Purch. Cost Patient Care'!G76*'1.Red. Purch. Cost Patient Care'!G88+'1.Red. Purch. Cost Patient Care'!G77*'1.Red. Purch. Cost Patient Care'!G89+'1.Red. Purch. Cost Patient Care'!G78*'1.Red. Purch. Cost Patient Care'!G90+'1.Red. Purch. Cost Patient Care'!G79*'1.Red. Purch. Cost Patient Care'!G91+'1.Red. Purch. Cost Patient Care'!G80*'1.Red. Purch. Cost Patient Care'!G92</f>
        <v>742350</v>
      </c>
      <c r="K18" s="392">
        <f>'1.Red. Purch. Cost Patient Care'!H74*'1.Red. Purch. Cost Patient Care'!H86+'1.Red. Purch. Cost Patient Care'!H75*'1.Red. Purch. Cost Patient Care'!H87+'1.Red. Purch. Cost Patient Care'!H76*'1.Red. Purch. Cost Patient Care'!H88+'1.Red. Purch. Cost Patient Care'!H77*'1.Red. Purch. Cost Patient Care'!H89+'1.Red. Purch. Cost Patient Care'!H78*'1.Red. Purch. Cost Patient Care'!H90+'1.Red. Purch. Cost Patient Care'!H79*'1.Red. Purch. Cost Patient Care'!H91+'1.Red. Purch. Cost Patient Care'!H80*'1.Red. Purch. Cost Patient Care'!H92</f>
        <v>787262.17500000005</v>
      </c>
      <c r="L18" s="392">
        <f>'1.Red. Purch. Cost Patient Care'!I74*'1.Red. Purch. Cost Patient Care'!I86+'1.Red. Purch. Cost Patient Care'!I75*'1.Red. Purch. Cost Patient Care'!I87+'1.Red. Purch. Cost Patient Care'!I76*'1.Red. Purch. Cost Patient Care'!I88+'1.Red. Purch. Cost Patient Care'!I77*'1.Red. Purch. Cost Patient Care'!I89+'1.Red. Purch. Cost Patient Care'!I78*'1.Red. Purch. Cost Patient Care'!I90+'1.Red. Purch. Cost Patient Care'!I79*'1.Red. Purch. Cost Patient Care'!I91+'1.Red. Purch. Cost Patient Care'!I80*'1.Red. Purch. Cost Patient Care'!I92</f>
        <v>834891.53658750001</v>
      </c>
      <c r="M18" s="392">
        <f>'1.Red. Purch. Cost Patient Care'!J74*'1.Red. Purch. Cost Patient Care'!J86+'1.Red. Purch. Cost Patient Care'!J75*'1.Red. Purch. Cost Patient Care'!J87+'1.Red. Purch. Cost Patient Care'!J76*'1.Red. Purch. Cost Patient Care'!J88+'1.Red. Purch. Cost Patient Care'!J77*'1.Red. Purch. Cost Patient Care'!J89+'1.Red. Purch. Cost Patient Care'!J78*'1.Red. Purch. Cost Patient Care'!J90+'1.Red. Purch. Cost Patient Care'!J79*'1.Red. Purch. Cost Patient Care'!J91+'1.Red. Purch. Cost Patient Care'!J80*'1.Red. Purch. Cost Patient Care'!J92</f>
        <v>885402.47455104394</v>
      </c>
      <c r="N18" s="392">
        <f>'1.Red. Purch. Cost Patient Care'!K74*'1.Red. Purch. Cost Patient Care'!K86+'1.Red. Purch. Cost Patient Care'!K75*'1.Red. Purch. Cost Patient Care'!K87+'1.Red. Purch. Cost Patient Care'!K76*'1.Red. Purch. Cost Patient Care'!K88+'1.Red. Purch. Cost Patient Care'!K77*'1.Red. Purch. Cost Patient Care'!K89+'1.Red. Purch. Cost Patient Care'!K78*'1.Red. Purch. Cost Patient Care'!K90+'1.Red. Purch. Cost Patient Care'!K79*'1.Red. Purch. Cost Patient Care'!K91+'1.Red. Purch. Cost Patient Care'!K80*'1.Red. Purch. Cost Patient Care'!K92</f>
        <v>938969.32426138187</v>
      </c>
      <c r="O18" s="392">
        <f>'1.Red. Purch. Cost Patient Care'!L74*'1.Red. Purch. Cost Patient Care'!L86+'1.Red. Purch. Cost Patient Care'!L75*'1.Red. Purch. Cost Patient Care'!L87+'1.Red. Purch. Cost Patient Care'!L76*'1.Red. Purch. Cost Patient Care'!L88+'1.Red. Purch. Cost Patient Care'!L77*'1.Red. Purch. Cost Patient Care'!L89+'1.Red. Purch. Cost Patient Care'!L78*'1.Red. Purch. Cost Patient Care'!L90+'1.Red. Purch. Cost Patient Care'!L79*'1.Red. Purch. Cost Patient Care'!L91+'1.Red. Purch. Cost Patient Care'!L80*'1.Red. Purch. Cost Patient Care'!L92</f>
        <v>995776.96837919566</v>
      </c>
      <c r="P18" s="392">
        <f>'1.Red. Purch. Cost Patient Care'!M74*'1.Red. Purch. Cost Patient Care'!M86+'1.Red. Purch. Cost Patient Care'!M75*'1.Red. Purch. Cost Patient Care'!M87+'1.Red. Purch. Cost Patient Care'!M76*'1.Red. Purch. Cost Patient Care'!M88+'1.Red. Purch. Cost Patient Care'!M77*'1.Red. Purch. Cost Patient Care'!M89+'1.Red. Purch. Cost Patient Care'!M78*'1.Red. Purch. Cost Patient Care'!M90+'1.Red. Purch. Cost Patient Care'!M79*'1.Red. Purch. Cost Patient Care'!M91+'1.Red. Purch. Cost Patient Care'!M80*'1.Red. Purch. Cost Patient Care'!M92</f>
        <v>1056021.4749661372</v>
      </c>
      <c r="Q18" s="392">
        <f>'1.Red. Purch. Cost Patient Care'!N74*'1.Red. Purch. Cost Patient Care'!N86+'1.Red. Purch. Cost Patient Care'!N75*'1.Red. Purch. Cost Patient Care'!N87+'1.Red. Purch. Cost Patient Care'!N76*'1.Red. Purch. Cost Patient Care'!N88+'1.Red. Purch. Cost Patient Care'!N77*'1.Red. Purch. Cost Patient Care'!N89+'1.Red. Purch. Cost Patient Care'!N78*'1.Red. Purch. Cost Patient Care'!N90+'1.Red. Purch. Cost Patient Care'!N79*'1.Red. Purch. Cost Patient Care'!N91+'1.Red. Purch. Cost Patient Care'!N80*'1.Red. Purch. Cost Patient Care'!N92</f>
        <v>1119910.7742015885</v>
      </c>
      <c r="R18" s="392">
        <f>'1.Red. Purch. Cost Patient Care'!O74*'1.Red. Purch. Cost Patient Care'!O86+'1.Red. Purch. Cost Patient Care'!O75*'1.Red. Purch. Cost Patient Care'!O87+'1.Red. Purch. Cost Patient Care'!O76*'1.Red. Purch. Cost Patient Care'!O88+'1.Red. Purch. Cost Patient Care'!O77*'1.Red. Purch. Cost Patient Care'!O89+'1.Red. Purch. Cost Patient Care'!O78*'1.Red. Purch. Cost Patient Care'!O90+'1.Red. Purch. Cost Patient Care'!O79*'1.Red. Purch. Cost Patient Care'!O91+'1.Red. Purch. Cost Patient Care'!O80*'1.Red. Purch. Cost Patient Care'!O92</f>
        <v>1187665.3760407844</v>
      </c>
      <c r="S18" s="493">
        <f>'1.Red. Purch. Cost Patient Care'!P74*'1.Red. Purch. Cost Patient Care'!P86+'1.Red. Purch. Cost Patient Care'!P75*'1.Red. Purch. Cost Patient Care'!P87+'1.Red. Purch. Cost Patient Care'!P76*'1.Red. Purch. Cost Patient Care'!P88+'1.Red. Purch. Cost Patient Care'!P77*'1.Red. Purch. Cost Patient Care'!P89+'1.Red. Purch. Cost Patient Care'!P78*'1.Red. Purch. Cost Patient Care'!P90+'1.Red. Purch. Cost Patient Care'!P79*'1.Red. Purch. Cost Patient Care'!P91+'1.Red. Purch. Cost Patient Care'!P80*'1.Red. Purch. Cost Patient Care'!P92</f>
        <v>1259519.1312912523</v>
      </c>
    </row>
    <row r="19" spans="4:25" ht="12.75" customHeight="1" x14ac:dyDescent="0.3">
      <c r="D19" s="478" t="s">
        <v>570</v>
      </c>
      <c r="E19" s="262" t="s">
        <v>202</v>
      </c>
      <c r="F19" s="429">
        <f>'Total S&amp;Vdevices'!D36</f>
        <v>134851712.84400019</v>
      </c>
      <c r="G19" s="429">
        <f>'Total S&amp;Vdevices'!E36</f>
        <v>118108934.1349992</v>
      </c>
      <c r="H19" s="429">
        <f>'Total S&amp;Vdevices'!F36</f>
        <v>138457009.98399791</v>
      </c>
      <c r="I19" s="479"/>
      <c r="J19" s="392">
        <f>('OLD Purchase Cost Surgica'!G99*'OLD Purchase Cost Surgica'!G115+'OLD Purchase Cost Surgica'!G100*'OLD Purchase Cost Surgica'!G116+'OLD Purchase Cost Surgica'!G101*'OLD Purchase Cost Surgica'!G117+'OLD Purchase Cost Surgica'!G102*'OLD Purchase Cost Surgica'!G118+'OLD Purchase Cost Surgica'!G103*'OLD Purchase Cost Surgica'!G119+'OLD Purchase Cost Surgica'!G104*'OLD Purchase Cost Surgica'!G120+'OLD Purchase Cost Surgica'!G105*'OLD Purchase Cost Surgica'!G121+'OLD Purchase Cost Surgica'!G106*'OLD Purchase Cost Surgica'!G122+'OLD Purchase Cost Surgica'!G107*'OLD Purchase Cost Surgica'!G123+'OLD Purchase Cost Surgica'!G108*'OLD Purchase Cost Surgica'!G124+'OLD Purchase Cost Surgica'!G109*'OLD Purchase Cost Surgica'!G125+'OLD Purchase Cost Surgica'!G110*'OLD Purchase Cost Surgica'!G126+'OLD Purchase Cost Surgica'!G111*'OLD Purchase Cost Surgica'!G127+'OLD Purchase Cost Surgica'!G112*'OLD Purchase Cost Surgica'!G128)+('1.Red. Purchase Cost Vasc.'!G62*'1.Red. Purchase Cost Vasc.'!G69+'1.Red. Purchase Cost Vasc.'!G63*'1.Red. Purchase Cost Vasc.'!G70+'1.Red. Purchase Cost Vasc.'!G64*'1.Red. Purchase Cost Vasc.'!G71+'1.Red. Purchase Cost Vasc.'!G65*'1.Red. Purchase Cost Vasc.'!G72+'1.Red. Purchase Cost Vasc.'!G66*'1.Red. Purchase Cost Vasc.'!G73)</f>
        <v>623945312.94884968</v>
      </c>
      <c r="K19" s="392">
        <f>('OLD Purchase Cost Surgica'!H99*'OLD Purchase Cost Surgica'!H115+'OLD Purchase Cost Surgica'!H100*'OLD Purchase Cost Surgica'!H116+'OLD Purchase Cost Surgica'!H101*'OLD Purchase Cost Surgica'!H117+'OLD Purchase Cost Surgica'!H102*'OLD Purchase Cost Surgica'!H118+'OLD Purchase Cost Surgica'!H103*'OLD Purchase Cost Surgica'!H119+'OLD Purchase Cost Surgica'!H104*'OLD Purchase Cost Surgica'!H120+'OLD Purchase Cost Surgica'!H105*'OLD Purchase Cost Surgica'!H121+'OLD Purchase Cost Surgica'!H106*'OLD Purchase Cost Surgica'!H122+'OLD Purchase Cost Surgica'!H107*'OLD Purchase Cost Surgica'!H123+'OLD Purchase Cost Surgica'!H108*'OLD Purchase Cost Surgica'!H124+'OLD Purchase Cost Surgica'!H109*'OLD Purchase Cost Surgica'!H125+'OLD Purchase Cost Surgica'!H110*'OLD Purchase Cost Surgica'!H126+'OLD Purchase Cost Surgica'!H111*'OLD Purchase Cost Surgica'!H127+'OLD Purchase Cost Surgica'!H112*'OLD Purchase Cost Surgica'!H128)+('1.Red. Purchase Cost Vasc.'!H62*'1.Red. Purchase Cost Vasc.'!H69+'1.Red. Purchase Cost Vasc.'!H63*'1.Red. Purchase Cost Vasc.'!H70+'1.Red. Purchase Cost Vasc.'!H64*'1.Red. Purchase Cost Vasc.'!H71+'1.Red. Purchase Cost Vasc.'!H65*'1.Red. Purchase Cost Vasc.'!H72+'1.Red. Purchase Cost Vasc.'!H66*'1.Red. Purchase Cost Vasc.'!H73)</f>
        <v>658606099.02847123</v>
      </c>
      <c r="L19" s="392">
        <f>('OLD Purchase Cost Surgica'!I99*'OLD Purchase Cost Surgica'!I115+'OLD Purchase Cost Surgica'!I100*'OLD Purchase Cost Surgica'!I116+'OLD Purchase Cost Surgica'!I101*'OLD Purchase Cost Surgica'!I117+'OLD Purchase Cost Surgica'!I102*'OLD Purchase Cost Surgica'!I118+'OLD Purchase Cost Surgica'!I103*'OLD Purchase Cost Surgica'!I119+'OLD Purchase Cost Surgica'!I104*'OLD Purchase Cost Surgica'!I120+'OLD Purchase Cost Surgica'!I105*'OLD Purchase Cost Surgica'!I121+'OLD Purchase Cost Surgica'!I106*'OLD Purchase Cost Surgica'!I122+'OLD Purchase Cost Surgica'!I107*'OLD Purchase Cost Surgica'!I123+'OLD Purchase Cost Surgica'!I108*'OLD Purchase Cost Surgica'!I124+'OLD Purchase Cost Surgica'!I109*'OLD Purchase Cost Surgica'!I125+'OLD Purchase Cost Surgica'!I110*'OLD Purchase Cost Surgica'!I126+'OLD Purchase Cost Surgica'!I111*'OLD Purchase Cost Surgica'!I127+'OLD Purchase Cost Surgica'!I112*'OLD Purchase Cost Surgica'!I128)+('1.Red. Purchase Cost Vasc.'!I62*'1.Red. Purchase Cost Vasc.'!I69+'1.Red. Purchase Cost Vasc.'!I63*'1.Red. Purchase Cost Vasc.'!I70+'1.Red. Purchase Cost Vasc.'!I64*'1.Red. Purchase Cost Vasc.'!I71+'1.Red. Purchase Cost Vasc.'!I65*'1.Red. Purchase Cost Vasc.'!I72+'1.Red. Purchase Cost Vasc.'!I66*'1.Red. Purchase Cost Vasc.'!I73)</f>
        <v>695192326.43560183</v>
      </c>
      <c r="M19" s="392">
        <f>('OLD Purchase Cost Surgica'!J99*'OLD Purchase Cost Surgica'!J115+'OLD Purchase Cost Surgica'!J100*'OLD Purchase Cost Surgica'!J116+'OLD Purchase Cost Surgica'!J101*'OLD Purchase Cost Surgica'!J117+'OLD Purchase Cost Surgica'!J102*'OLD Purchase Cost Surgica'!J118+'OLD Purchase Cost Surgica'!J103*'OLD Purchase Cost Surgica'!J119+'OLD Purchase Cost Surgica'!J104*'OLD Purchase Cost Surgica'!J120+'OLD Purchase Cost Surgica'!J105*'OLD Purchase Cost Surgica'!J121+'OLD Purchase Cost Surgica'!J106*'OLD Purchase Cost Surgica'!J122+'OLD Purchase Cost Surgica'!J107*'OLD Purchase Cost Surgica'!J123+'OLD Purchase Cost Surgica'!J108*'OLD Purchase Cost Surgica'!J124+'OLD Purchase Cost Surgica'!J109*'OLD Purchase Cost Surgica'!J125+'OLD Purchase Cost Surgica'!J110*'OLD Purchase Cost Surgica'!J126+'OLD Purchase Cost Surgica'!J111*'OLD Purchase Cost Surgica'!J127+'OLD Purchase Cost Surgica'!J112*'OLD Purchase Cost Surgica'!J128)+('1.Red. Purchase Cost Vasc.'!J62*'1.Red. Purchase Cost Vasc.'!J69+'1.Red. Purchase Cost Vasc.'!J63*'1.Red. Purchase Cost Vasc.'!J70+'1.Red. Purchase Cost Vasc.'!J64*'1.Red. Purchase Cost Vasc.'!J71+'1.Red. Purchase Cost Vasc.'!J65*'1.Red. Purchase Cost Vasc.'!J72+'1.Red. Purchase Cost Vasc.'!J66*'1.Red. Purchase Cost Vasc.'!J73)</f>
        <v>733810955.36142576</v>
      </c>
      <c r="N19" s="392">
        <f>('OLD Purchase Cost Surgica'!K99*'OLD Purchase Cost Surgica'!K115+'OLD Purchase Cost Surgica'!K100*'OLD Purchase Cost Surgica'!K116+'OLD Purchase Cost Surgica'!K101*'OLD Purchase Cost Surgica'!K117+'OLD Purchase Cost Surgica'!K102*'OLD Purchase Cost Surgica'!K118+'OLD Purchase Cost Surgica'!K103*'OLD Purchase Cost Surgica'!K119+'OLD Purchase Cost Surgica'!K104*'OLD Purchase Cost Surgica'!K120+'OLD Purchase Cost Surgica'!K105*'OLD Purchase Cost Surgica'!K121+'OLD Purchase Cost Surgica'!K106*'OLD Purchase Cost Surgica'!K122+'OLD Purchase Cost Surgica'!K107*'OLD Purchase Cost Surgica'!K123+'OLD Purchase Cost Surgica'!K108*'OLD Purchase Cost Surgica'!K124+'OLD Purchase Cost Surgica'!K109*'OLD Purchase Cost Surgica'!K125+'OLD Purchase Cost Surgica'!K110*'OLD Purchase Cost Surgica'!K126+'OLD Purchase Cost Surgica'!K111*'OLD Purchase Cost Surgica'!K127+'OLD Purchase Cost Surgica'!K112*'OLD Purchase Cost Surgica'!K128)+('1.Red. Purchase Cost Vasc.'!K62*'1.Red. Purchase Cost Vasc.'!K69+'1.Red. Purchase Cost Vasc.'!K63*'1.Red. Purchase Cost Vasc.'!K70+'1.Red. Purchase Cost Vasc.'!K64*'1.Red. Purchase Cost Vasc.'!K71+'1.Red. Purchase Cost Vasc.'!K65*'1.Red. Purchase Cost Vasc.'!K72+'1.Red. Purchase Cost Vasc.'!K66*'1.Red. Purchase Cost Vasc.'!K73)</f>
        <v>774574887.74270821</v>
      </c>
      <c r="O19" s="392">
        <f>('OLD Purchase Cost Surgica'!L99*'OLD Purchase Cost Surgica'!L115+'OLD Purchase Cost Surgica'!L100*'OLD Purchase Cost Surgica'!L116+'OLD Purchase Cost Surgica'!L101*'OLD Purchase Cost Surgica'!L117+'OLD Purchase Cost Surgica'!L102*'OLD Purchase Cost Surgica'!L118+'OLD Purchase Cost Surgica'!L103*'OLD Purchase Cost Surgica'!L119+'OLD Purchase Cost Surgica'!L104*'OLD Purchase Cost Surgica'!L120+'OLD Purchase Cost Surgica'!L105*'OLD Purchase Cost Surgica'!L121+'OLD Purchase Cost Surgica'!L106*'OLD Purchase Cost Surgica'!L122+'OLD Purchase Cost Surgica'!L107*'OLD Purchase Cost Surgica'!L123+'OLD Purchase Cost Surgica'!L108*'OLD Purchase Cost Surgica'!L124+'OLD Purchase Cost Surgica'!L109*'OLD Purchase Cost Surgica'!L125+'OLD Purchase Cost Surgica'!L110*'OLD Purchase Cost Surgica'!L126+'OLD Purchase Cost Surgica'!L111*'OLD Purchase Cost Surgica'!L127+'OLD Purchase Cost Surgica'!L112*'OLD Purchase Cost Surgica'!L128)+('1.Red. Purchase Cost Vasc.'!L62*'1.Red. Purchase Cost Vasc.'!L69+'1.Red. Purchase Cost Vasc.'!L63*'1.Red. Purchase Cost Vasc.'!L70+'1.Red. Purchase Cost Vasc.'!L64*'1.Red. Purchase Cost Vasc.'!L71+'1.Red. Purchase Cost Vasc.'!L65*'1.Red. Purchase Cost Vasc.'!L72+'1.Red. Purchase Cost Vasc.'!L66*'1.Red. Purchase Cost Vasc.'!L73)</f>
        <v>817603297.33170331</v>
      </c>
      <c r="P19" s="392">
        <f>('OLD Purchase Cost Surgica'!M99*'OLD Purchase Cost Surgica'!M115+'OLD Purchase Cost Surgica'!M100*'OLD Purchase Cost Surgica'!M116+'OLD Purchase Cost Surgica'!M101*'OLD Purchase Cost Surgica'!M117+'OLD Purchase Cost Surgica'!M102*'OLD Purchase Cost Surgica'!M118+'OLD Purchase Cost Surgica'!M103*'OLD Purchase Cost Surgica'!M119+'OLD Purchase Cost Surgica'!M104*'OLD Purchase Cost Surgica'!M120+'OLD Purchase Cost Surgica'!M105*'OLD Purchase Cost Surgica'!M121+'OLD Purchase Cost Surgica'!M106*'OLD Purchase Cost Surgica'!M122+'OLD Purchase Cost Surgica'!M107*'OLD Purchase Cost Surgica'!M123+'OLD Purchase Cost Surgica'!M108*'OLD Purchase Cost Surgica'!M124+'OLD Purchase Cost Surgica'!M109*'OLD Purchase Cost Surgica'!M125+'OLD Purchase Cost Surgica'!M110*'OLD Purchase Cost Surgica'!M126+'OLD Purchase Cost Surgica'!M111*'OLD Purchase Cost Surgica'!M127+'OLD Purchase Cost Surgica'!M112*'OLD Purchase Cost Surgica'!M128)+('1.Red. Purchase Cost Vasc.'!M62*'1.Red. Purchase Cost Vasc.'!M69+'1.Red. Purchase Cost Vasc.'!M63*'1.Red. Purchase Cost Vasc.'!M70+'1.Red. Purchase Cost Vasc.'!M64*'1.Red. Purchase Cost Vasc.'!M71+'1.Red. Purchase Cost Vasc.'!M65*'1.Red. Purchase Cost Vasc.'!M72+'1.Red. Purchase Cost Vasc.'!M66*'1.Red. Purchase Cost Vasc.'!M73)</f>
        <v>863021978.10177684</v>
      </c>
      <c r="Q19" s="392">
        <f>('OLD Purchase Cost Surgica'!N99*'OLD Purchase Cost Surgica'!N115+'OLD Purchase Cost Surgica'!N100*'OLD Purchase Cost Surgica'!N116+'OLD Purchase Cost Surgica'!N101*'OLD Purchase Cost Surgica'!N117+'OLD Purchase Cost Surgica'!N102*'OLD Purchase Cost Surgica'!N118+'OLD Purchase Cost Surgica'!N103*'OLD Purchase Cost Surgica'!N119+'OLD Purchase Cost Surgica'!N104*'OLD Purchase Cost Surgica'!N120+'OLD Purchase Cost Surgica'!N105*'OLD Purchase Cost Surgica'!N121+'OLD Purchase Cost Surgica'!N106*'OLD Purchase Cost Surgica'!N122+'OLD Purchase Cost Surgica'!N107*'OLD Purchase Cost Surgica'!N123+'OLD Purchase Cost Surgica'!N108*'OLD Purchase Cost Surgica'!N124+'OLD Purchase Cost Surgica'!N109*'OLD Purchase Cost Surgica'!N125+'OLD Purchase Cost Surgica'!N110*'OLD Purchase Cost Surgica'!N126+'OLD Purchase Cost Surgica'!N111*'OLD Purchase Cost Surgica'!N127+'OLD Purchase Cost Surgica'!N112*'OLD Purchase Cost Surgica'!N128)+('1.Red. Purchase Cost Vasc.'!N62*'1.Red. Purchase Cost Vasc.'!N69+'1.Red. Purchase Cost Vasc.'!N63*'1.Red. Purchase Cost Vasc.'!N70+'1.Red. Purchase Cost Vasc.'!N64*'1.Red. Purchase Cost Vasc.'!N71+'1.Red. Purchase Cost Vasc.'!N65*'1.Red. Purchase Cost Vasc.'!N72+'1.Red. Purchase Cost Vasc.'!N66*'1.Red. Purchase Cost Vasc.'!N73)</f>
        <v>910963712.00730848</v>
      </c>
      <c r="R19" s="392">
        <f>('OLD Purchase Cost Surgica'!O99*'OLD Purchase Cost Surgica'!O115+'OLD Purchase Cost Surgica'!O100*'OLD Purchase Cost Surgica'!O116+'OLD Purchase Cost Surgica'!O101*'OLD Purchase Cost Surgica'!O117+'OLD Purchase Cost Surgica'!O102*'OLD Purchase Cost Surgica'!O118+'OLD Purchase Cost Surgica'!O103*'OLD Purchase Cost Surgica'!O119+'OLD Purchase Cost Surgica'!O104*'OLD Purchase Cost Surgica'!O120+'OLD Purchase Cost Surgica'!O105*'OLD Purchase Cost Surgica'!O121+'OLD Purchase Cost Surgica'!O106*'OLD Purchase Cost Surgica'!O122+'OLD Purchase Cost Surgica'!O107*'OLD Purchase Cost Surgica'!O123+'OLD Purchase Cost Surgica'!O108*'OLD Purchase Cost Surgica'!O124+'OLD Purchase Cost Surgica'!O109*'OLD Purchase Cost Surgica'!O125+'OLD Purchase Cost Surgica'!O110*'OLD Purchase Cost Surgica'!O126+'OLD Purchase Cost Surgica'!O111*'OLD Purchase Cost Surgica'!O127+'OLD Purchase Cost Surgica'!O112*'OLD Purchase Cost Surgica'!O128)+('1.Red. Purchase Cost Vasc.'!O62*'1.Red. Purchase Cost Vasc.'!O69+'1.Red. Purchase Cost Vasc.'!O63*'1.Red. Purchase Cost Vasc.'!O70+'1.Red. Purchase Cost Vasc.'!O64*'1.Red. Purchase Cost Vasc.'!O71+'1.Red. Purchase Cost Vasc.'!O65*'1.Red. Purchase Cost Vasc.'!O72+'1.Red. Purchase Cost Vasc.'!O66*'1.Red. Purchase Cost Vasc.'!O73)</f>
        <v>961568657.17302656</v>
      </c>
      <c r="S19" s="493">
        <f>('OLD Purchase Cost Surgica'!P99*'OLD Purchase Cost Surgica'!P115+'OLD Purchase Cost Surgica'!P100*'OLD Purchase Cost Surgica'!P116+'OLD Purchase Cost Surgica'!P101*'OLD Purchase Cost Surgica'!P117+'OLD Purchase Cost Surgica'!P102*'OLD Purchase Cost Surgica'!P118+'OLD Purchase Cost Surgica'!P103*'OLD Purchase Cost Surgica'!P119+'OLD Purchase Cost Surgica'!P104*'OLD Purchase Cost Surgica'!P120+'OLD Purchase Cost Surgica'!P105*'OLD Purchase Cost Surgica'!P121+'OLD Purchase Cost Surgica'!P106*'OLD Purchase Cost Surgica'!P122+'OLD Purchase Cost Surgica'!P107*'OLD Purchase Cost Surgica'!P123+'OLD Purchase Cost Surgica'!P108*'OLD Purchase Cost Surgica'!P124+'OLD Purchase Cost Surgica'!P109*'OLD Purchase Cost Surgica'!P125+'OLD Purchase Cost Surgica'!P110*'OLD Purchase Cost Surgica'!P126+'OLD Purchase Cost Surgica'!P111*'OLD Purchase Cost Surgica'!P127+'OLD Purchase Cost Surgica'!P112*'OLD Purchase Cost Surgica'!P128)+('1.Red. Purchase Cost Vasc.'!P62*'1.Red. Purchase Cost Vasc.'!P69+'1.Red. Purchase Cost Vasc.'!P63*'1.Red. Purchase Cost Vasc.'!P70+'1.Red. Purchase Cost Vasc.'!P64*'1.Red. Purchase Cost Vasc.'!P71+'1.Red. Purchase Cost Vasc.'!P65*'1.Red. Purchase Cost Vasc.'!P72+'1.Red. Purchase Cost Vasc.'!P66*'1.Red. Purchase Cost Vasc.'!P73)</f>
        <v>1014984757.6476452</v>
      </c>
    </row>
    <row r="20" spans="4:25" ht="12.75" customHeight="1" x14ac:dyDescent="0.3">
      <c r="D20" s="478"/>
      <c r="E20" s="366"/>
      <c r="F20" s="481">
        <f t="shared" ref="F20:H20" si="9">F18+F19</f>
        <v>148259384.3229855</v>
      </c>
      <c r="G20" s="481">
        <f t="shared" si="9"/>
        <v>130464134.05808111</v>
      </c>
      <c r="H20" s="481">
        <f t="shared" si="9"/>
        <v>150931572.85959688</v>
      </c>
      <c r="I20" s="482">
        <f>AVERAGE(F20:H20)</f>
        <v>143218363.74688783</v>
      </c>
      <c r="J20" s="481">
        <f t="shared" ref="J20:S20" si="10">J18+J19</f>
        <v>624687662.94884968</v>
      </c>
      <c r="K20" s="481">
        <f t="shared" si="10"/>
        <v>659393361.20347118</v>
      </c>
      <c r="L20" s="481">
        <f t="shared" si="10"/>
        <v>696027217.97218931</v>
      </c>
      <c r="M20" s="481">
        <f t="shared" si="10"/>
        <v>734696357.83597684</v>
      </c>
      <c r="N20" s="481">
        <f t="shared" si="10"/>
        <v>775513857.06696963</v>
      </c>
      <c r="O20" s="481">
        <f t="shared" si="10"/>
        <v>818599074.30008245</v>
      </c>
      <c r="P20" s="481">
        <f t="shared" si="10"/>
        <v>864077999.57674301</v>
      </c>
      <c r="Q20" s="481">
        <f t="shared" si="10"/>
        <v>912083622.78151011</v>
      </c>
      <c r="R20" s="481">
        <f t="shared" si="10"/>
        <v>962756322.54906738</v>
      </c>
      <c r="S20" s="482">
        <f t="shared" si="10"/>
        <v>1016244276.7789365</v>
      </c>
    </row>
    <row r="21" spans="4:25" ht="12.75" customHeight="1" x14ac:dyDescent="0.3">
      <c r="D21" s="478"/>
      <c r="E21" s="366"/>
      <c r="F21" s="366"/>
      <c r="G21" s="366"/>
      <c r="H21" s="366"/>
      <c r="I21" s="483">
        <f>(H20/F20)^(1/2)-1</f>
        <v>8.9716247755147194E-3</v>
      </c>
      <c r="J21" s="366"/>
      <c r="K21" s="366"/>
      <c r="L21" s="366"/>
      <c r="M21" s="366"/>
      <c r="N21" s="366"/>
      <c r="O21" s="366"/>
      <c r="P21" s="366"/>
      <c r="Q21" s="366"/>
      <c r="R21" s="366"/>
      <c r="S21" s="479"/>
    </row>
    <row r="22" spans="4:25" ht="12.75" customHeight="1" x14ac:dyDescent="0.3">
      <c r="D22" s="484" t="s">
        <v>565</v>
      </c>
      <c r="E22" s="364"/>
      <c r="F22" s="364">
        <v>2019</v>
      </c>
      <c r="G22" s="364">
        <v>2020</v>
      </c>
      <c r="H22" s="364">
        <v>2021</v>
      </c>
      <c r="I22" s="479"/>
      <c r="J22" s="366"/>
      <c r="K22" s="366"/>
      <c r="L22" s="366"/>
      <c r="M22" s="366"/>
      <c r="N22" s="366"/>
      <c r="O22" s="366"/>
      <c r="P22" s="366"/>
      <c r="Q22" s="366"/>
      <c r="R22" s="366"/>
      <c r="S22" s="479"/>
    </row>
    <row r="23" spans="4:25" ht="12.75" customHeight="1" x14ac:dyDescent="0.3">
      <c r="D23" s="478" t="s">
        <v>569</v>
      </c>
      <c r="E23" s="262" t="s">
        <v>202</v>
      </c>
      <c r="F23" s="375">
        <f>'Patient Care items(all)'!B45</f>
        <v>1357480.6024030722</v>
      </c>
      <c r="G23" s="375">
        <f>'Patient Care items(all)'!C45</f>
        <v>1173046.6337607221</v>
      </c>
      <c r="H23" s="375">
        <f>'Patient Care items(all)'!D45</f>
        <v>1663145.2234888133</v>
      </c>
      <c r="I23" s="479"/>
      <c r="J23" s="392">
        <f>'1.Red. Purch. Cost Patient Care'!G97*'1.Red. Purch. Cost Patient Care'!G109+'1.Red. Purch. Cost Patient Care'!G98*'1.Red. Purch. Cost Patient Care'!G110+'1.Red. Purch. Cost Patient Care'!G99*'1.Red. Purch. Cost Patient Care'!G111+'1.Red. Purch. Cost Patient Care'!G100*'1.Red. Purch. Cost Patient Care'!G112+'1.Red. Purch. Cost Patient Care'!G101*'1.Red. Purch. Cost Patient Care'!G113+'1.Red. Purch. Cost Patient Care'!G102*'1.Red. Purch. Cost Patient Care'!G114+'1.Red. Purch. Cost Patient Care'!G103*'1.Red. Purch. Cost Patient Care'!G115</f>
        <v>37117.5</v>
      </c>
      <c r="K23" s="392">
        <f>'1.Red. Purch. Cost Patient Care'!H97*'1.Red. Purch. Cost Patient Care'!H109+'1.Red. Purch. Cost Patient Care'!H98*'1.Red. Purch. Cost Patient Care'!H110+'1.Red. Purch. Cost Patient Care'!H99*'1.Red. Purch. Cost Patient Care'!H111+'1.Red. Purch. Cost Patient Care'!H100*'1.Red. Purch. Cost Patient Care'!H112+'1.Red. Purch. Cost Patient Care'!H101*'1.Red. Purch. Cost Patient Care'!H113+'1.Red. Purch. Cost Patient Care'!H102*'1.Red. Purch. Cost Patient Care'!H114+'1.Red. Purch. Cost Patient Care'!H103*'1.Red. Purch. Cost Patient Care'!H115</f>
        <v>39363.108749999999</v>
      </c>
      <c r="L23" s="392">
        <f>'1.Red. Purch. Cost Patient Care'!I97*'1.Red. Purch. Cost Patient Care'!I109+'1.Red. Purch. Cost Patient Care'!I98*'1.Red. Purch. Cost Patient Care'!I110+'1.Red. Purch. Cost Patient Care'!I99*'1.Red. Purch. Cost Patient Care'!I111+'1.Red. Purch. Cost Patient Care'!I100*'1.Red. Purch. Cost Patient Care'!I112+'1.Red. Purch. Cost Patient Care'!I101*'1.Red. Purch. Cost Patient Care'!I113+'1.Red. Purch. Cost Patient Care'!I102*'1.Red. Purch. Cost Patient Care'!I114+'1.Red. Purch. Cost Patient Care'!I103*'1.Red. Purch. Cost Patient Care'!I115</f>
        <v>41744.576829375008</v>
      </c>
      <c r="M23" s="392">
        <f>'1.Red. Purch. Cost Patient Care'!J97*'1.Red. Purch. Cost Patient Care'!J109+'1.Red. Purch. Cost Patient Care'!J98*'1.Red. Purch. Cost Patient Care'!J110+'1.Red. Purch. Cost Patient Care'!J99*'1.Red. Purch. Cost Patient Care'!J111+'1.Red. Purch. Cost Patient Care'!J100*'1.Red. Purch. Cost Patient Care'!J112+'1.Red. Purch. Cost Patient Care'!J101*'1.Red. Purch. Cost Patient Care'!J113+'1.Red. Purch. Cost Patient Care'!J102*'1.Red. Purch. Cost Patient Care'!J114+'1.Red. Purch. Cost Patient Care'!J103*'1.Red. Purch. Cost Patient Care'!J115</f>
        <v>44270.123727552185</v>
      </c>
      <c r="N23" s="392">
        <f>'1.Red. Purch. Cost Patient Care'!K97*'1.Red. Purch. Cost Patient Care'!K109+'1.Red. Purch. Cost Patient Care'!K98*'1.Red. Purch. Cost Patient Care'!K110+'1.Red. Purch. Cost Patient Care'!K99*'1.Red. Purch. Cost Patient Care'!K111+'1.Red. Purch. Cost Patient Care'!K100*'1.Red. Purch. Cost Patient Care'!K112+'1.Red. Purch. Cost Patient Care'!K101*'1.Red. Purch. Cost Patient Care'!K113+'1.Red. Purch. Cost Patient Care'!K102*'1.Red. Purch. Cost Patient Care'!K114+'1.Red. Purch. Cost Patient Care'!K103*'1.Red. Purch. Cost Patient Care'!K115</f>
        <v>46948.466213069092</v>
      </c>
      <c r="O23" s="392">
        <f>'1.Red. Purch. Cost Patient Care'!L97*'1.Red. Purch. Cost Patient Care'!L109+'1.Red. Purch. Cost Patient Care'!L98*'1.Red. Purch. Cost Patient Care'!L110+'1.Red. Purch. Cost Patient Care'!L99*'1.Red. Purch. Cost Patient Care'!L111+'1.Red. Purch. Cost Patient Care'!L100*'1.Red. Purch. Cost Patient Care'!L112+'1.Red. Purch. Cost Patient Care'!L101*'1.Red. Purch. Cost Patient Care'!L113+'1.Red. Purch. Cost Patient Care'!L102*'1.Red. Purch. Cost Patient Care'!L114+'1.Red. Purch. Cost Patient Care'!L103*'1.Red. Purch. Cost Patient Care'!L115</f>
        <v>49788.848418959788</v>
      </c>
      <c r="P23" s="392">
        <f>'1.Red. Purch. Cost Patient Care'!M97*'1.Red. Purch. Cost Patient Care'!M109+'1.Red. Purch. Cost Patient Care'!M98*'1.Red. Purch. Cost Patient Care'!M110+'1.Red. Purch. Cost Patient Care'!M99*'1.Red. Purch. Cost Patient Care'!M111+'1.Red. Purch. Cost Patient Care'!M100*'1.Red. Purch. Cost Patient Care'!M112+'1.Red. Purch. Cost Patient Care'!M101*'1.Red. Purch. Cost Patient Care'!M113+'1.Red. Purch. Cost Patient Care'!M102*'1.Red. Purch. Cost Patient Care'!M114+'1.Red. Purch. Cost Patient Care'!M103*'1.Red. Purch. Cost Patient Care'!M115</f>
        <v>52801.073748306859</v>
      </c>
      <c r="Q23" s="392">
        <f>'1.Red. Purch. Cost Patient Care'!N97*'1.Red. Purch. Cost Patient Care'!N109+'1.Red. Purch. Cost Patient Care'!N98*'1.Red. Purch. Cost Patient Care'!N110+'1.Red. Purch. Cost Patient Care'!N99*'1.Red. Purch. Cost Patient Care'!N111+'1.Red. Purch. Cost Patient Care'!N100*'1.Red. Purch. Cost Patient Care'!N112+'1.Red. Purch. Cost Patient Care'!N101*'1.Red. Purch. Cost Patient Care'!N113+'1.Red. Purch. Cost Patient Care'!N102*'1.Red. Purch. Cost Patient Care'!N114+'1.Red. Purch. Cost Patient Care'!N103*'1.Red. Purch. Cost Patient Care'!N115</f>
        <v>55995.538710079432</v>
      </c>
      <c r="R23" s="392">
        <f>'1.Red. Purch. Cost Patient Care'!O97*'1.Red. Purch. Cost Patient Care'!O109+'1.Red. Purch. Cost Patient Care'!O98*'1.Red. Purch. Cost Patient Care'!O110+'1.Red. Purch. Cost Patient Care'!O99*'1.Red. Purch. Cost Patient Care'!O111+'1.Red. Purch. Cost Patient Care'!O100*'1.Red. Purch. Cost Patient Care'!O112+'1.Red. Purch. Cost Patient Care'!O101*'1.Red. Purch. Cost Patient Care'!O113+'1.Red. Purch. Cost Patient Care'!O102*'1.Red. Purch. Cost Patient Care'!O114+'1.Red. Purch. Cost Patient Care'!O103*'1.Red. Purch. Cost Patient Care'!O115</f>
        <v>59383.268802039223</v>
      </c>
      <c r="S23" s="493">
        <f>'1.Red. Purch. Cost Patient Care'!P97*'1.Red. Purch. Cost Patient Care'!P109+'1.Red. Purch. Cost Patient Care'!P98*'1.Red. Purch. Cost Patient Care'!P110+'1.Red. Purch. Cost Patient Care'!P99*'1.Red. Purch. Cost Patient Care'!P111+'1.Red. Purch. Cost Patient Care'!P100*'1.Red. Purch. Cost Patient Care'!P112+'1.Red. Purch. Cost Patient Care'!P101*'1.Red. Purch. Cost Patient Care'!P113+'1.Red. Purch. Cost Patient Care'!P102*'1.Red. Purch. Cost Patient Care'!P114+'1.Red. Purch. Cost Patient Care'!P103*'1.Red. Purch. Cost Patient Care'!P115</f>
        <v>62975.956564562606</v>
      </c>
      <c r="T23" s="392"/>
      <c r="U23" s="392"/>
      <c r="V23" s="392"/>
      <c r="W23" s="392"/>
      <c r="X23" s="392"/>
      <c r="Y23" s="392"/>
    </row>
    <row r="24" spans="4:25" ht="12.75" customHeight="1" x14ac:dyDescent="0.3">
      <c r="D24" s="478" t="s">
        <v>570</v>
      </c>
      <c r="E24" s="262" t="s">
        <v>202</v>
      </c>
      <c r="F24" s="429">
        <f>'Surgical items analysis'!B72+'Vasc. Items analysis'!B37</f>
        <v>1903018</v>
      </c>
      <c r="G24" s="429">
        <f>'Surgical items analysis'!C72+'Vasc. Items analysis'!C37</f>
        <v>1833155</v>
      </c>
      <c r="H24" s="429">
        <f>'Surgical items analysis'!D72+'Vasc. Items analysis'!D37</f>
        <v>1984298</v>
      </c>
      <c r="I24" s="479"/>
      <c r="J24" s="392">
        <f>('OLD Purchase Cost Surgica'!G131*'OLD Purchase Cost Surgica'!G147+'OLD Purchase Cost Surgica'!G132*'OLD Purchase Cost Surgica'!G148+'OLD Purchase Cost Surgica'!G133*'OLD Purchase Cost Surgica'!G149+'OLD Purchase Cost Surgica'!G134*'OLD Purchase Cost Surgica'!G150+'OLD Purchase Cost Surgica'!G135*'OLD Purchase Cost Surgica'!G151+'OLD Purchase Cost Surgica'!G136*'OLD Purchase Cost Surgica'!G152+'OLD Purchase Cost Surgica'!G137*'OLD Purchase Cost Surgica'!G153+'OLD Purchase Cost Surgica'!G138*'OLD Purchase Cost Surgica'!G154+'OLD Purchase Cost Surgica'!G139*'OLD Purchase Cost Surgica'!G154+'OLD Purchase Cost Surgica'!G140*'OLD Purchase Cost Surgica'!G155+'OLD Purchase Cost Surgica'!G141*'OLD Purchase Cost Surgica'!G156+'OLD Purchase Cost Surgica'!G142*'OLD Purchase Cost Surgica'!G157+'OLD Purchase Cost Surgica'!G143*'OLD Purchase Cost Surgica'!G158+'OLD Purchase Cost Surgica'!G144*'OLD Purchase Cost Surgica'!G159)+('1.Red. Purchase Cost Vasc.'!G76*'1.Red. Purchase Cost Vasc.'!G83+'1.Red. Purchase Cost Vasc.'!G77*'1.Red. Purchase Cost Vasc.'!G84+'1.Red. Purchase Cost Vasc.'!G78*'1.Red. Purchase Cost Vasc.'!G85+'1.Red. Purchase Cost Vasc.'!G79*'1.Red. Purchase Cost Vasc.'!G86)</f>
        <v>2083575.8447368422</v>
      </c>
      <c r="K24" s="392">
        <f>('OLD Purchase Cost Surgica'!H131*'OLD Purchase Cost Surgica'!H147+'OLD Purchase Cost Surgica'!H132*'OLD Purchase Cost Surgica'!H148+'OLD Purchase Cost Surgica'!H133*'OLD Purchase Cost Surgica'!H149+'OLD Purchase Cost Surgica'!H134*'OLD Purchase Cost Surgica'!H150+'OLD Purchase Cost Surgica'!H135*'OLD Purchase Cost Surgica'!H151+'OLD Purchase Cost Surgica'!H136*'OLD Purchase Cost Surgica'!H152+'OLD Purchase Cost Surgica'!H137*'OLD Purchase Cost Surgica'!H153+'OLD Purchase Cost Surgica'!H138*'OLD Purchase Cost Surgica'!H154+'OLD Purchase Cost Surgica'!H139*'OLD Purchase Cost Surgica'!H154+'OLD Purchase Cost Surgica'!H140*'OLD Purchase Cost Surgica'!H155+'OLD Purchase Cost Surgica'!H141*'OLD Purchase Cost Surgica'!H156+'OLD Purchase Cost Surgica'!H142*'OLD Purchase Cost Surgica'!H157+'OLD Purchase Cost Surgica'!H143*'OLD Purchase Cost Surgica'!H158+'OLD Purchase Cost Surgica'!H144*'OLD Purchase Cost Surgica'!H159)+('1.Red. Purchase Cost Vasc.'!H76*'1.Red. Purchase Cost Vasc.'!H83+'1.Red. Purchase Cost Vasc.'!H77*'1.Red. Purchase Cost Vasc.'!H84+'1.Red. Purchase Cost Vasc.'!H78*'1.Red. Purchase Cost Vasc.'!H85+'1.Red. Purchase Cost Vasc.'!H79*'1.Red. Purchase Cost Vasc.'!H86)</f>
        <v>2187754.6369736842</v>
      </c>
      <c r="L24" s="392">
        <f>('OLD Purchase Cost Surgica'!I131*'OLD Purchase Cost Surgica'!I147+'OLD Purchase Cost Surgica'!I132*'OLD Purchase Cost Surgica'!I148+'OLD Purchase Cost Surgica'!I133*'OLD Purchase Cost Surgica'!I149+'OLD Purchase Cost Surgica'!I134*'OLD Purchase Cost Surgica'!I150+'OLD Purchase Cost Surgica'!I135*'OLD Purchase Cost Surgica'!I151+'OLD Purchase Cost Surgica'!I136*'OLD Purchase Cost Surgica'!I152+'OLD Purchase Cost Surgica'!I137*'OLD Purchase Cost Surgica'!I153+'OLD Purchase Cost Surgica'!I138*'OLD Purchase Cost Surgica'!I154+'OLD Purchase Cost Surgica'!I139*'OLD Purchase Cost Surgica'!I154+'OLD Purchase Cost Surgica'!I140*'OLD Purchase Cost Surgica'!I155+'OLD Purchase Cost Surgica'!I141*'OLD Purchase Cost Surgica'!I156+'OLD Purchase Cost Surgica'!I142*'OLD Purchase Cost Surgica'!I157+'OLD Purchase Cost Surgica'!I143*'OLD Purchase Cost Surgica'!I158+'OLD Purchase Cost Surgica'!I144*'OLD Purchase Cost Surgica'!I159)+('1.Red. Purchase Cost Vasc.'!I76*'1.Red. Purchase Cost Vasc.'!I83+'1.Red. Purchase Cost Vasc.'!I77*'1.Red. Purchase Cost Vasc.'!I84+'1.Red. Purchase Cost Vasc.'!I78*'1.Red. Purchase Cost Vasc.'!I85+'1.Red. Purchase Cost Vasc.'!I79*'1.Red. Purchase Cost Vasc.'!I86)</f>
        <v>2297142.3688223688</v>
      </c>
      <c r="M24" s="392">
        <f>('OLD Purchase Cost Surgica'!J131*'OLD Purchase Cost Surgica'!J147+'OLD Purchase Cost Surgica'!J132*'OLD Purchase Cost Surgica'!J148+'OLD Purchase Cost Surgica'!J133*'OLD Purchase Cost Surgica'!J149+'OLD Purchase Cost Surgica'!J134*'OLD Purchase Cost Surgica'!J150+'OLD Purchase Cost Surgica'!J135*'OLD Purchase Cost Surgica'!J151+'OLD Purchase Cost Surgica'!J136*'OLD Purchase Cost Surgica'!J152+'OLD Purchase Cost Surgica'!J137*'OLD Purchase Cost Surgica'!J153+'OLD Purchase Cost Surgica'!J138*'OLD Purchase Cost Surgica'!J154+'OLD Purchase Cost Surgica'!J139*'OLD Purchase Cost Surgica'!J154+'OLD Purchase Cost Surgica'!J140*'OLD Purchase Cost Surgica'!J155+'OLD Purchase Cost Surgica'!J141*'OLD Purchase Cost Surgica'!J156+'OLD Purchase Cost Surgica'!J142*'OLD Purchase Cost Surgica'!J157+'OLD Purchase Cost Surgica'!J143*'OLD Purchase Cost Surgica'!J158+'OLD Purchase Cost Surgica'!J144*'OLD Purchase Cost Surgica'!J159)+('1.Red. Purchase Cost Vasc.'!J76*'1.Red. Purchase Cost Vasc.'!J83+'1.Red. Purchase Cost Vasc.'!J77*'1.Red. Purchase Cost Vasc.'!J84+'1.Red. Purchase Cost Vasc.'!J78*'1.Red. Purchase Cost Vasc.'!J85+'1.Red. Purchase Cost Vasc.'!J79*'1.Red. Purchase Cost Vasc.'!J86)</f>
        <v>2411999.4872634877</v>
      </c>
      <c r="N24" s="392">
        <f>('OLD Purchase Cost Surgica'!K131*'OLD Purchase Cost Surgica'!K147+'OLD Purchase Cost Surgica'!K132*'OLD Purchase Cost Surgica'!K148+'OLD Purchase Cost Surgica'!K133*'OLD Purchase Cost Surgica'!K149+'OLD Purchase Cost Surgica'!K134*'OLD Purchase Cost Surgica'!K150+'OLD Purchase Cost Surgica'!K135*'OLD Purchase Cost Surgica'!K151+'OLD Purchase Cost Surgica'!K136*'OLD Purchase Cost Surgica'!K152+'OLD Purchase Cost Surgica'!K137*'OLD Purchase Cost Surgica'!K153+'OLD Purchase Cost Surgica'!K138*'OLD Purchase Cost Surgica'!K154+'OLD Purchase Cost Surgica'!K139*'OLD Purchase Cost Surgica'!K154+'OLD Purchase Cost Surgica'!K140*'OLD Purchase Cost Surgica'!K155+'OLD Purchase Cost Surgica'!K141*'OLD Purchase Cost Surgica'!K156+'OLD Purchase Cost Surgica'!K142*'OLD Purchase Cost Surgica'!K157+'OLD Purchase Cost Surgica'!K143*'OLD Purchase Cost Surgica'!K158+'OLD Purchase Cost Surgica'!K144*'OLD Purchase Cost Surgica'!K159)+('1.Red. Purchase Cost Vasc.'!K76*'1.Red. Purchase Cost Vasc.'!K83+'1.Red. Purchase Cost Vasc.'!K77*'1.Red. Purchase Cost Vasc.'!K84+'1.Red. Purchase Cost Vasc.'!K78*'1.Red. Purchase Cost Vasc.'!K85+'1.Red. Purchase Cost Vasc.'!K79*'1.Red. Purchase Cost Vasc.'!K86)</f>
        <v>2532599.4616266619</v>
      </c>
      <c r="O24" s="392">
        <f>('OLD Purchase Cost Surgica'!L131*'OLD Purchase Cost Surgica'!L147+'OLD Purchase Cost Surgica'!L132*'OLD Purchase Cost Surgica'!L148+'OLD Purchase Cost Surgica'!L133*'OLD Purchase Cost Surgica'!L149+'OLD Purchase Cost Surgica'!L134*'OLD Purchase Cost Surgica'!L150+'OLD Purchase Cost Surgica'!L135*'OLD Purchase Cost Surgica'!L151+'OLD Purchase Cost Surgica'!L136*'OLD Purchase Cost Surgica'!L152+'OLD Purchase Cost Surgica'!L137*'OLD Purchase Cost Surgica'!L153+'OLD Purchase Cost Surgica'!L138*'OLD Purchase Cost Surgica'!L154+'OLD Purchase Cost Surgica'!L139*'OLD Purchase Cost Surgica'!L154+'OLD Purchase Cost Surgica'!L140*'OLD Purchase Cost Surgica'!L155+'OLD Purchase Cost Surgica'!L141*'OLD Purchase Cost Surgica'!L156+'OLD Purchase Cost Surgica'!L142*'OLD Purchase Cost Surgica'!L157+'OLD Purchase Cost Surgica'!L143*'OLD Purchase Cost Surgica'!L158+'OLD Purchase Cost Surgica'!L144*'OLD Purchase Cost Surgica'!L159)+('1.Red. Purchase Cost Vasc.'!L76*'1.Red. Purchase Cost Vasc.'!L83+'1.Red. Purchase Cost Vasc.'!L77*'1.Red. Purchase Cost Vasc.'!L84+'1.Red. Purchase Cost Vasc.'!L78*'1.Red. Purchase Cost Vasc.'!L85+'1.Red. Purchase Cost Vasc.'!L79*'1.Red. Purchase Cost Vasc.'!L86)</f>
        <v>2659229.4347079955</v>
      </c>
      <c r="P24" s="392">
        <f>('OLD Purchase Cost Surgica'!M131*'OLD Purchase Cost Surgica'!M147+'OLD Purchase Cost Surgica'!M132*'OLD Purchase Cost Surgica'!M148+'OLD Purchase Cost Surgica'!M133*'OLD Purchase Cost Surgica'!M149+'OLD Purchase Cost Surgica'!M134*'OLD Purchase Cost Surgica'!M150+'OLD Purchase Cost Surgica'!M135*'OLD Purchase Cost Surgica'!M151+'OLD Purchase Cost Surgica'!M136*'OLD Purchase Cost Surgica'!M152+'OLD Purchase Cost Surgica'!M137*'OLD Purchase Cost Surgica'!M153+'OLD Purchase Cost Surgica'!M138*'OLD Purchase Cost Surgica'!M154+'OLD Purchase Cost Surgica'!M139*'OLD Purchase Cost Surgica'!M154+'OLD Purchase Cost Surgica'!M140*'OLD Purchase Cost Surgica'!M155+'OLD Purchase Cost Surgica'!M141*'OLD Purchase Cost Surgica'!M156+'OLD Purchase Cost Surgica'!M142*'OLD Purchase Cost Surgica'!M157+'OLD Purchase Cost Surgica'!M143*'OLD Purchase Cost Surgica'!M158+'OLD Purchase Cost Surgica'!M144*'OLD Purchase Cost Surgica'!M159)+('1.Red. Purchase Cost Vasc.'!M76*'1.Red. Purchase Cost Vasc.'!M83+'1.Red. Purchase Cost Vasc.'!M77*'1.Red. Purchase Cost Vasc.'!M84+'1.Red. Purchase Cost Vasc.'!M78*'1.Red. Purchase Cost Vasc.'!M85+'1.Red. Purchase Cost Vasc.'!M79*'1.Red. Purchase Cost Vasc.'!M86)</f>
        <v>2792190.9064433947</v>
      </c>
      <c r="Q24" s="392">
        <f>('OLD Purchase Cost Surgica'!N131*'OLD Purchase Cost Surgica'!N147+'OLD Purchase Cost Surgica'!N132*'OLD Purchase Cost Surgica'!N148+'OLD Purchase Cost Surgica'!N133*'OLD Purchase Cost Surgica'!N149+'OLD Purchase Cost Surgica'!N134*'OLD Purchase Cost Surgica'!N150+'OLD Purchase Cost Surgica'!N135*'OLD Purchase Cost Surgica'!N151+'OLD Purchase Cost Surgica'!N136*'OLD Purchase Cost Surgica'!N152+'OLD Purchase Cost Surgica'!N137*'OLD Purchase Cost Surgica'!N153+'OLD Purchase Cost Surgica'!N138*'OLD Purchase Cost Surgica'!N154+'OLD Purchase Cost Surgica'!N139*'OLD Purchase Cost Surgica'!N154+'OLD Purchase Cost Surgica'!N140*'OLD Purchase Cost Surgica'!N155+'OLD Purchase Cost Surgica'!N141*'OLD Purchase Cost Surgica'!N156+'OLD Purchase Cost Surgica'!N142*'OLD Purchase Cost Surgica'!N157+'OLD Purchase Cost Surgica'!N143*'OLD Purchase Cost Surgica'!N158+'OLD Purchase Cost Surgica'!N144*'OLD Purchase Cost Surgica'!N159)+('1.Red. Purchase Cost Vasc.'!N76*'1.Red. Purchase Cost Vasc.'!N83+'1.Red. Purchase Cost Vasc.'!N77*'1.Red. Purchase Cost Vasc.'!N84+'1.Red. Purchase Cost Vasc.'!N78*'1.Red. Purchase Cost Vasc.'!N85+'1.Red. Purchase Cost Vasc.'!N79*'1.Red. Purchase Cost Vasc.'!N86)</f>
        <v>2931800.4517655643</v>
      </c>
      <c r="R24" s="392">
        <f>('OLD Purchase Cost Surgica'!O131*'OLD Purchase Cost Surgica'!O147+'OLD Purchase Cost Surgica'!O132*'OLD Purchase Cost Surgica'!O148+'OLD Purchase Cost Surgica'!O133*'OLD Purchase Cost Surgica'!O149+'OLD Purchase Cost Surgica'!O134*'OLD Purchase Cost Surgica'!O150+'OLD Purchase Cost Surgica'!O135*'OLD Purchase Cost Surgica'!O151+'OLD Purchase Cost Surgica'!O136*'OLD Purchase Cost Surgica'!O152+'OLD Purchase Cost Surgica'!O137*'OLD Purchase Cost Surgica'!O153+'OLD Purchase Cost Surgica'!O138*'OLD Purchase Cost Surgica'!O154+'OLD Purchase Cost Surgica'!O139*'OLD Purchase Cost Surgica'!O154+'OLD Purchase Cost Surgica'!O140*'OLD Purchase Cost Surgica'!O155+'OLD Purchase Cost Surgica'!O141*'OLD Purchase Cost Surgica'!O156+'OLD Purchase Cost Surgica'!O142*'OLD Purchase Cost Surgica'!O157+'OLD Purchase Cost Surgica'!O143*'OLD Purchase Cost Surgica'!O158+'OLD Purchase Cost Surgica'!O144*'OLD Purchase Cost Surgica'!O159)+('1.Red. Purchase Cost Vasc.'!O76*'1.Red. Purchase Cost Vasc.'!O83+'1.Red. Purchase Cost Vasc.'!O77*'1.Red. Purchase Cost Vasc.'!O84+'1.Red. Purchase Cost Vasc.'!O78*'1.Red. Purchase Cost Vasc.'!O85+'1.Red. Purchase Cost Vasc.'!O79*'1.Red. Purchase Cost Vasc.'!O86)</f>
        <v>3078390.4743538429</v>
      </c>
      <c r="S24" s="493">
        <f>('OLD Purchase Cost Surgica'!P131*'OLD Purchase Cost Surgica'!P147+'OLD Purchase Cost Surgica'!P132*'OLD Purchase Cost Surgica'!P148+'OLD Purchase Cost Surgica'!P133*'OLD Purchase Cost Surgica'!P149+'OLD Purchase Cost Surgica'!P134*'OLD Purchase Cost Surgica'!P150+'OLD Purchase Cost Surgica'!P135*'OLD Purchase Cost Surgica'!P151+'OLD Purchase Cost Surgica'!P136*'OLD Purchase Cost Surgica'!P152+'OLD Purchase Cost Surgica'!P137*'OLD Purchase Cost Surgica'!P153+'OLD Purchase Cost Surgica'!P138*'OLD Purchase Cost Surgica'!P154+'OLD Purchase Cost Surgica'!P139*'OLD Purchase Cost Surgica'!P154+'OLD Purchase Cost Surgica'!P140*'OLD Purchase Cost Surgica'!P155+'OLD Purchase Cost Surgica'!P141*'OLD Purchase Cost Surgica'!P156+'OLD Purchase Cost Surgica'!P142*'OLD Purchase Cost Surgica'!P157+'OLD Purchase Cost Surgica'!P143*'OLD Purchase Cost Surgica'!P158+'OLD Purchase Cost Surgica'!P144*'OLD Purchase Cost Surgica'!P159)+('1.Red. Purchase Cost Vasc.'!P76*'1.Red. Purchase Cost Vasc.'!P83+'1.Red. Purchase Cost Vasc.'!P77*'1.Red. Purchase Cost Vasc.'!P84+'1.Red. Purchase Cost Vasc.'!P78*'1.Red. Purchase Cost Vasc.'!P85+'1.Red. Purchase Cost Vasc.'!P79*'1.Red. Purchase Cost Vasc.'!P86)</f>
        <v>3232309.9980715355</v>
      </c>
      <c r="T24" s="392"/>
      <c r="U24" s="392"/>
      <c r="V24" s="392"/>
      <c r="W24" s="392"/>
      <c r="X24" s="392"/>
      <c r="Y24" s="392"/>
    </row>
    <row r="25" spans="4:25" ht="12.75" customHeight="1" x14ac:dyDescent="0.3">
      <c r="D25" s="478"/>
      <c r="E25" s="366"/>
      <c r="F25" s="481">
        <f t="shared" ref="F25:H25" si="11">F23+F24</f>
        <v>3260498.6024030722</v>
      </c>
      <c r="G25" s="481">
        <f t="shared" si="11"/>
        <v>3006201.6337607224</v>
      </c>
      <c r="H25" s="481">
        <f t="shared" si="11"/>
        <v>3647443.2234888133</v>
      </c>
      <c r="I25" s="482">
        <f>AVERAGE(F25:H25)</f>
        <v>3304714.4865508694</v>
      </c>
      <c r="J25" s="481">
        <f t="shared" ref="J25:S25" si="12">J23+J24</f>
        <v>2120693.3447368424</v>
      </c>
      <c r="K25" s="481">
        <f t="shared" si="12"/>
        <v>2227117.7457236843</v>
      </c>
      <c r="L25" s="481">
        <f t="shared" si="12"/>
        <v>2338886.945651744</v>
      </c>
      <c r="M25" s="481">
        <f t="shared" si="12"/>
        <v>2456269.6109910398</v>
      </c>
      <c r="N25" s="481">
        <f t="shared" si="12"/>
        <v>2579547.9278397309</v>
      </c>
      <c r="O25" s="481">
        <f t="shared" si="12"/>
        <v>2709018.2831269554</v>
      </c>
      <c r="P25" s="481">
        <f t="shared" si="12"/>
        <v>2844991.9801917016</v>
      </c>
      <c r="Q25" s="481">
        <f t="shared" si="12"/>
        <v>2987795.9904756439</v>
      </c>
      <c r="R25" s="481">
        <f t="shared" si="12"/>
        <v>3137773.7431558822</v>
      </c>
      <c r="S25" s="482">
        <f t="shared" si="12"/>
        <v>3295285.9546360979</v>
      </c>
      <c r="T25" s="481"/>
    </row>
    <row r="26" spans="4:25" ht="12.75" customHeight="1" x14ac:dyDescent="0.3">
      <c r="D26" s="484" t="s">
        <v>566</v>
      </c>
      <c r="E26" s="364"/>
      <c r="F26" s="366"/>
      <c r="G26" s="366"/>
      <c r="H26" s="366"/>
      <c r="I26" s="479"/>
      <c r="J26" s="366"/>
      <c r="K26" s="366"/>
      <c r="L26" s="366"/>
      <c r="M26" s="366"/>
      <c r="N26" s="366"/>
      <c r="O26" s="366"/>
      <c r="P26" s="366"/>
      <c r="Q26" s="366"/>
      <c r="R26" s="366"/>
      <c r="S26" s="479"/>
      <c r="T26" s="366"/>
    </row>
    <row r="27" spans="4:25" ht="12.75" customHeight="1" x14ac:dyDescent="0.3">
      <c r="D27" s="478" t="s">
        <v>567</v>
      </c>
      <c r="E27" s="262" t="s">
        <v>202</v>
      </c>
      <c r="F27" s="486">
        <f t="shared" ref="F27:H27" si="13">F23/F18</f>
        <v>0.10124655907110612</v>
      </c>
      <c r="G27" s="486">
        <f t="shared" si="13"/>
        <v>9.494355745464253E-2</v>
      </c>
      <c r="H27" s="486">
        <f t="shared" si="13"/>
        <v>0.13332292602749474</v>
      </c>
      <c r="I27" s="479"/>
      <c r="J27" s="486">
        <f t="shared" ref="J27:S27" si="14">J23/J18</f>
        <v>0.05</v>
      </c>
      <c r="K27" s="486">
        <f t="shared" si="14"/>
        <v>4.9999999999999996E-2</v>
      </c>
      <c r="L27" s="486">
        <f t="shared" si="14"/>
        <v>5.000000000000001E-2</v>
      </c>
      <c r="M27" s="486">
        <f t="shared" si="14"/>
        <v>4.9999999999999989E-2</v>
      </c>
      <c r="N27" s="486">
        <f t="shared" si="14"/>
        <v>4.9999999999999996E-2</v>
      </c>
      <c r="O27" s="486">
        <f t="shared" si="14"/>
        <v>0.05</v>
      </c>
      <c r="P27" s="486">
        <f t="shared" si="14"/>
        <v>4.9999999999999996E-2</v>
      </c>
      <c r="Q27" s="486">
        <f t="shared" si="14"/>
        <v>5.000000000000001E-2</v>
      </c>
      <c r="R27" s="486">
        <f t="shared" si="14"/>
        <v>0.05</v>
      </c>
      <c r="S27" s="483">
        <f t="shared" si="14"/>
        <v>4.9999999999999989E-2</v>
      </c>
      <c r="T27" s="486"/>
    </row>
    <row r="28" spans="4:25" ht="12.75" customHeight="1" x14ac:dyDescent="0.3">
      <c r="D28" s="478" t="s">
        <v>568</v>
      </c>
      <c r="E28" s="262" t="s">
        <v>202</v>
      </c>
      <c r="F28" s="486">
        <f t="shared" ref="F28:H28" si="15">F24/F19</f>
        <v>1.411193050400078E-2</v>
      </c>
      <c r="G28" s="486">
        <f t="shared" si="15"/>
        <v>1.552088344057608E-2</v>
      </c>
      <c r="H28" s="486">
        <f t="shared" si="15"/>
        <v>1.4331509832758443E-2</v>
      </c>
      <c r="I28" s="479"/>
      <c r="J28" s="486">
        <f t="shared" ref="J28:S28" si="16">J24/J19</f>
        <v>3.3393565132969457E-3</v>
      </c>
      <c r="K28" s="486">
        <f t="shared" si="16"/>
        <v>3.3217952888697872E-3</v>
      </c>
      <c r="L28" s="486">
        <f t="shared" si="16"/>
        <v>3.3043264165476391E-3</v>
      </c>
      <c r="M28" s="486">
        <f t="shared" si="16"/>
        <v>3.2869494106632677E-3</v>
      </c>
      <c r="N28" s="486">
        <f t="shared" si="16"/>
        <v>3.2696637881034938E-3</v>
      </c>
      <c r="O28" s="486">
        <f t="shared" si="16"/>
        <v>3.2524690682957714E-3</v>
      </c>
      <c r="P28" s="486">
        <f t="shared" si="16"/>
        <v>3.2353647731948139E-3</v>
      </c>
      <c r="Q28" s="486">
        <f t="shared" si="16"/>
        <v>3.2183504272693172E-3</v>
      </c>
      <c r="R28" s="486">
        <f t="shared" si="16"/>
        <v>3.2014255574887266E-3</v>
      </c>
      <c r="S28" s="483">
        <f t="shared" si="16"/>
        <v>3.1845896933100949E-3</v>
      </c>
      <c r="T28" s="486"/>
    </row>
    <row r="29" spans="4:25" ht="12.75" customHeight="1" x14ac:dyDescent="0.3">
      <c r="D29" s="487"/>
      <c r="E29" s="488"/>
      <c r="F29" s="489">
        <f t="shared" ref="F29:S29" si="17">F25/F20</f>
        <v>2.1991853111301356E-2</v>
      </c>
      <c r="G29" s="489">
        <f t="shared" si="17"/>
        <v>2.3042360687592474E-2</v>
      </c>
      <c r="H29" s="489">
        <f t="shared" si="17"/>
        <v>2.4166204289687115E-2</v>
      </c>
      <c r="I29" s="490">
        <f t="shared" si="17"/>
        <v>2.3074656071279696E-2</v>
      </c>
      <c r="J29" s="489">
        <f t="shared" si="17"/>
        <v>3.394805869426123E-3</v>
      </c>
      <c r="K29" s="489">
        <f t="shared" si="17"/>
        <v>3.3775252781722432E-3</v>
      </c>
      <c r="L29" s="489">
        <f t="shared" si="17"/>
        <v>3.3603383391613249E-3</v>
      </c>
      <c r="M29" s="489">
        <f t="shared" si="17"/>
        <v>3.3432445727999776E-3</v>
      </c>
      <c r="N29" s="489">
        <f t="shared" si="17"/>
        <v>3.326243502077067E-3</v>
      </c>
      <c r="O29" s="489">
        <f t="shared" si="17"/>
        <v>3.3093346525504158E-3</v>
      </c>
      <c r="P29" s="489">
        <f t="shared" si="17"/>
        <v>3.2925175523335656E-3</v>
      </c>
      <c r="Q29" s="489">
        <f t="shared" si="17"/>
        <v>3.2757917320826307E-3</v>
      </c>
      <c r="R29" s="489">
        <f t="shared" si="17"/>
        <v>3.2591567249831942E-3</v>
      </c>
      <c r="S29" s="490">
        <f t="shared" si="17"/>
        <v>3.2426120667372977E-3</v>
      </c>
      <c r="T29" s="489"/>
    </row>
    <row r="30" spans="4:25" ht="12.75" customHeight="1" x14ac:dyDescent="0.3"/>
    <row r="31" spans="4:25" ht="12.75" customHeight="1" x14ac:dyDescent="0.35">
      <c r="D31" s="494" t="s">
        <v>571</v>
      </c>
      <c r="E31" s="495"/>
      <c r="F31" s="496" t="s">
        <v>572</v>
      </c>
      <c r="G31" s="497" t="s">
        <v>573</v>
      </c>
      <c r="H31" s="498" t="s">
        <v>187</v>
      </c>
    </row>
    <row r="32" spans="4:25" ht="12.75" customHeight="1" x14ac:dyDescent="0.35">
      <c r="D32" s="499" t="s">
        <v>574</v>
      </c>
      <c r="E32" s="500"/>
      <c r="F32" s="501"/>
      <c r="G32" s="502"/>
      <c r="H32" s="503"/>
    </row>
    <row r="33" spans="4:10" ht="12.75" customHeight="1" x14ac:dyDescent="0.35">
      <c r="D33" s="161" t="s">
        <v>62</v>
      </c>
      <c r="E33" s="50"/>
      <c r="F33" s="504">
        <f>'Patient Care items(all)'!H12</f>
        <v>-3.4655009275645798E-2</v>
      </c>
      <c r="G33" s="505">
        <v>4.5100000000000001E-2</v>
      </c>
      <c r="H33" s="615" t="s">
        <v>575</v>
      </c>
      <c r="J33" s="396"/>
    </row>
    <row r="34" spans="4:10" ht="12.75" customHeight="1" x14ac:dyDescent="0.35">
      <c r="D34" s="161" t="s">
        <v>63</v>
      </c>
      <c r="E34" s="50"/>
      <c r="F34" s="506">
        <v>-1.01E-2</v>
      </c>
      <c r="G34" s="505">
        <v>4.5100000000000001E-2</v>
      </c>
      <c r="H34" s="616"/>
    </row>
    <row r="35" spans="4:10" ht="12.75" customHeight="1" x14ac:dyDescent="0.35">
      <c r="D35" s="161" t="s">
        <v>64</v>
      </c>
      <c r="E35" s="50"/>
      <c r="F35" s="506">
        <v>-1.01E-2</v>
      </c>
      <c r="G35" s="505">
        <v>4.5100000000000001E-2</v>
      </c>
      <c r="H35" s="617"/>
    </row>
    <row r="36" spans="4:10" ht="12.75" customHeight="1" x14ac:dyDescent="0.35">
      <c r="D36" s="507" t="s">
        <v>576</v>
      </c>
      <c r="E36" s="50"/>
      <c r="F36" s="506"/>
      <c r="G36" s="505"/>
      <c r="H36" s="508"/>
    </row>
    <row r="37" spans="4:10" ht="12.75" customHeight="1" x14ac:dyDescent="0.35">
      <c r="D37" s="161" t="s">
        <v>62</v>
      </c>
      <c r="E37" s="50"/>
      <c r="F37" s="506">
        <v>-0.03</v>
      </c>
      <c r="G37" s="509" t="s">
        <v>577</v>
      </c>
      <c r="H37" s="508" t="s">
        <v>578</v>
      </c>
    </row>
    <row r="38" spans="4:10" ht="12.75" customHeight="1" x14ac:dyDescent="0.35">
      <c r="D38" s="161" t="s">
        <v>63</v>
      </c>
      <c r="E38" s="50"/>
      <c r="F38" s="506">
        <v>-0.12</v>
      </c>
      <c r="G38" s="509" t="s">
        <v>577</v>
      </c>
      <c r="H38" s="508"/>
    </row>
    <row r="39" spans="4:10" ht="12.75" customHeight="1" x14ac:dyDescent="0.35">
      <c r="D39" s="510" t="s">
        <v>64</v>
      </c>
      <c r="E39" s="134"/>
      <c r="F39" s="511">
        <v>-0.1</v>
      </c>
      <c r="G39" s="512" t="s">
        <v>577</v>
      </c>
      <c r="H39" s="513"/>
    </row>
    <row r="40" spans="4:10" ht="12.75" customHeight="1" x14ac:dyDescent="0.35">
      <c r="D40" s="494" t="s">
        <v>571</v>
      </c>
      <c r="E40" s="495"/>
      <c r="F40" s="496" t="s">
        <v>572</v>
      </c>
      <c r="G40" s="497" t="s">
        <v>573</v>
      </c>
      <c r="H40" s="498" t="s">
        <v>187</v>
      </c>
    </row>
    <row r="41" spans="4:10" ht="12.75" customHeight="1" x14ac:dyDescent="0.35">
      <c r="D41" s="169"/>
      <c r="E41" s="50"/>
      <c r="F41" s="50"/>
      <c r="G41" s="50"/>
      <c r="H41" s="115"/>
    </row>
    <row r="42" spans="4:10" ht="12.75" customHeight="1" x14ac:dyDescent="0.35">
      <c r="D42" s="62" t="s">
        <v>579</v>
      </c>
      <c r="E42" s="50"/>
      <c r="F42" s="50"/>
      <c r="G42" s="50"/>
      <c r="H42" s="115"/>
    </row>
    <row r="43" spans="4:10" ht="12.75" customHeight="1" x14ac:dyDescent="0.35">
      <c r="D43" s="161" t="s">
        <v>62</v>
      </c>
      <c r="E43" s="50"/>
      <c r="F43" s="505">
        <v>-8.0000000000000004E-4</v>
      </c>
      <c r="G43" s="514">
        <v>0.01</v>
      </c>
      <c r="H43" s="618" t="s">
        <v>580</v>
      </c>
    </row>
    <row r="44" spans="4:10" ht="12.75" customHeight="1" x14ac:dyDescent="0.35">
      <c r="D44" s="161" t="s">
        <v>63</v>
      </c>
      <c r="E44" s="50"/>
      <c r="F44" s="505">
        <v>4.3400000000000001E-2</v>
      </c>
      <c r="G44" s="514">
        <v>0.01</v>
      </c>
      <c r="H44" s="616"/>
    </row>
    <row r="45" spans="4:10" ht="12.75" customHeight="1" x14ac:dyDescent="0.35">
      <c r="D45" s="161" t="s">
        <v>64</v>
      </c>
      <c r="E45" s="50"/>
      <c r="F45" s="505">
        <v>-7.1999999999999995E-2</v>
      </c>
      <c r="G45" s="514">
        <v>0.01</v>
      </c>
      <c r="H45" s="617"/>
    </row>
    <row r="46" spans="4:10" ht="12.75" customHeight="1" x14ac:dyDescent="0.35">
      <c r="D46" s="169"/>
      <c r="E46" s="50"/>
      <c r="F46" s="50"/>
      <c r="G46" s="50"/>
      <c r="H46" s="115"/>
    </row>
    <row r="47" spans="4:10" ht="12.75" customHeight="1" x14ac:dyDescent="0.35">
      <c r="D47" s="62" t="s">
        <v>581</v>
      </c>
      <c r="E47" s="50"/>
      <c r="F47" s="50"/>
      <c r="G47" s="50"/>
      <c r="H47" s="115"/>
    </row>
    <row r="48" spans="4:10" ht="12.75" customHeight="1" x14ac:dyDescent="0.35">
      <c r="D48" s="161" t="s">
        <v>62</v>
      </c>
      <c r="E48" s="50"/>
      <c r="F48" s="505">
        <v>9.9000000000000005E-2</v>
      </c>
      <c r="G48" s="514">
        <v>0</v>
      </c>
      <c r="H48" s="618" t="s">
        <v>580</v>
      </c>
    </row>
    <row r="49" spans="4:8" ht="12.75" customHeight="1" x14ac:dyDescent="0.35">
      <c r="D49" s="161" t="s">
        <v>63</v>
      </c>
      <c r="E49" s="50"/>
      <c r="F49" s="505">
        <v>-9.1000000000000004E-3</v>
      </c>
      <c r="G49" s="505">
        <v>0</v>
      </c>
      <c r="H49" s="616"/>
    </row>
    <row r="50" spans="4:8" ht="12.75" customHeight="1" x14ac:dyDescent="0.35">
      <c r="D50" s="510" t="s">
        <v>64</v>
      </c>
      <c r="E50" s="134"/>
      <c r="F50" s="515">
        <v>8.1000000000000003E-2</v>
      </c>
      <c r="G50" s="516">
        <v>0</v>
      </c>
      <c r="H50" s="619"/>
    </row>
    <row r="51" spans="4:8" ht="12.75" customHeight="1" x14ac:dyDescent="0.3"/>
    <row r="52" spans="4:8" ht="12.75" customHeight="1" x14ac:dyDescent="0.3"/>
    <row r="53" spans="4:8" ht="12.75" customHeight="1" x14ac:dyDescent="0.3"/>
    <row r="54" spans="4:8" ht="12.75" customHeight="1" x14ac:dyDescent="0.3"/>
    <row r="55" spans="4:8" ht="12.75" customHeight="1" x14ac:dyDescent="0.3"/>
    <row r="56" spans="4:8" ht="12.75" customHeight="1" x14ac:dyDescent="0.3"/>
    <row r="57" spans="4:8" ht="12.75" customHeight="1" x14ac:dyDescent="0.3"/>
    <row r="58" spans="4:8" ht="12.75" customHeight="1" x14ac:dyDescent="0.3"/>
    <row r="59" spans="4:8" ht="12.75" customHeight="1" x14ac:dyDescent="0.3"/>
    <row r="60" spans="4:8" ht="12.75" customHeight="1" x14ac:dyDescent="0.3"/>
    <row r="61" spans="4:8" ht="12.75" customHeight="1" x14ac:dyDescent="0.3"/>
    <row r="62" spans="4:8" ht="12.75" customHeight="1" x14ac:dyDescent="0.3"/>
    <row r="63" spans="4:8" ht="12.75" customHeight="1" x14ac:dyDescent="0.3"/>
    <row r="64" spans="4:8"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mergeCells count="3">
    <mergeCell ref="H33:H35"/>
    <mergeCell ref="H43:H45"/>
    <mergeCell ref="H48:H50"/>
  </mergeCells>
  <pageMargins left="0.7" right="0.7" top="0.75" bottom="0.75"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C1:J1000"/>
  <sheetViews>
    <sheetView workbookViewId="0"/>
  </sheetViews>
  <sheetFormatPr defaultColWidth="14.3984375" defaultRowHeight="15" customHeight="1" x14ac:dyDescent="0.3"/>
  <cols>
    <col min="1" max="2" width="8.69921875" customWidth="1"/>
    <col min="3" max="3" width="56.09765625" customWidth="1"/>
    <col min="4" max="4" width="14.8984375" customWidth="1"/>
    <col min="5" max="6" width="12.59765625" customWidth="1"/>
    <col min="7" max="9" width="8.69921875" customWidth="1"/>
    <col min="10" max="10" width="12.3984375" customWidth="1"/>
    <col min="11" max="26" width="8.69921875" customWidth="1"/>
  </cols>
  <sheetData>
    <row r="1" spans="3:10" ht="12.75" customHeight="1" x14ac:dyDescent="0.3">
      <c r="C1" s="364" t="s">
        <v>582</v>
      </c>
    </row>
    <row r="2" spans="3:10" ht="12.75" customHeight="1" x14ac:dyDescent="0.3">
      <c r="C2" s="517" t="s">
        <v>583</v>
      </c>
      <c r="D2" s="517">
        <v>2019</v>
      </c>
      <c r="E2" s="517">
        <v>2020</v>
      </c>
      <c r="F2" s="517">
        <v>2021</v>
      </c>
      <c r="H2" s="517">
        <v>2020</v>
      </c>
      <c r="I2" s="517">
        <v>2021</v>
      </c>
      <c r="J2" s="517" t="s">
        <v>584</v>
      </c>
    </row>
    <row r="3" spans="3:10" ht="12.75" customHeight="1" x14ac:dyDescent="0.3">
      <c r="C3" s="406" t="s">
        <v>500</v>
      </c>
      <c r="D3" s="429">
        <v>125155</v>
      </c>
      <c r="E3" s="429">
        <v>122784</v>
      </c>
      <c r="F3" s="429">
        <v>113111</v>
      </c>
    </row>
    <row r="4" spans="3:10" ht="12.75" customHeight="1" x14ac:dyDescent="0.3">
      <c r="C4" s="406" t="s">
        <v>501</v>
      </c>
      <c r="D4" s="429">
        <v>147097</v>
      </c>
      <c r="E4" s="429">
        <v>133130</v>
      </c>
      <c r="F4" s="429">
        <v>140556</v>
      </c>
    </row>
    <row r="5" spans="3:10" ht="12.75" customHeight="1" x14ac:dyDescent="0.3">
      <c r="C5" s="406" t="s">
        <v>502</v>
      </c>
      <c r="D5" s="429">
        <v>25603</v>
      </c>
      <c r="E5" s="429">
        <v>18708</v>
      </c>
      <c r="F5" s="429">
        <v>24190</v>
      </c>
    </row>
    <row r="6" spans="3:10" ht="12.75" customHeight="1" x14ac:dyDescent="0.3">
      <c r="C6" s="406" t="s">
        <v>503</v>
      </c>
      <c r="D6" s="429">
        <v>2445958</v>
      </c>
      <c r="E6" s="429">
        <v>2184417</v>
      </c>
      <c r="F6" s="429">
        <v>2340864.5</v>
      </c>
    </row>
    <row r="7" spans="3:10" ht="12.75" customHeight="1" x14ac:dyDescent="0.3">
      <c r="C7" s="406" t="s">
        <v>504</v>
      </c>
      <c r="D7" s="429">
        <v>158556</v>
      </c>
      <c r="E7" s="429">
        <v>145584</v>
      </c>
      <c r="F7" s="429">
        <v>148739</v>
      </c>
    </row>
    <row r="8" spans="3:10" ht="12.75" customHeight="1" x14ac:dyDescent="0.3">
      <c r="C8" s="406" t="s">
        <v>505</v>
      </c>
      <c r="D8" s="429">
        <v>125939</v>
      </c>
      <c r="E8" s="429">
        <v>106707</v>
      </c>
      <c r="F8" s="429">
        <v>131986</v>
      </c>
    </row>
    <row r="9" spans="3:10" ht="12.75" customHeight="1" x14ac:dyDescent="0.3">
      <c r="C9" s="406" t="s">
        <v>506</v>
      </c>
      <c r="D9" s="429">
        <v>4481</v>
      </c>
      <c r="E9" s="429">
        <v>3303</v>
      </c>
      <c r="F9" s="429">
        <v>5770</v>
      </c>
    </row>
    <row r="10" spans="3:10" ht="12.75" customHeight="1" x14ac:dyDescent="0.3">
      <c r="C10" s="406" t="s">
        <v>507</v>
      </c>
      <c r="D10" s="429">
        <v>19356</v>
      </c>
      <c r="E10" s="429">
        <v>14172</v>
      </c>
      <c r="F10" s="429">
        <v>18479</v>
      </c>
      <c r="G10" s="61"/>
    </row>
    <row r="11" spans="3:10" ht="12.75" customHeight="1" x14ac:dyDescent="0.3">
      <c r="C11" s="406" t="s">
        <v>508</v>
      </c>
      <c r="D11" s="429">
        <v>39172</v>
      </c>
      <c r="E11" s="429">
        <v>28732</v>
      </c>
      <c r="F11" s="429">
        <v>38597</v>
      </c>
    </row>
    <row r="12" spans="3:10" ht="12.75" customHeight="1" x14ac:dyDescent="0.3">
      <c r="C12" s="406" t="s">
        <v>509</v>
      </c>
      <c r="D12" s="429">
        <v>796034</v>
      </c>
      <c r="E12" s="429">
        <v>970921</v>
      </c>
      <c r="F12" s="429">
        <v>947128</v>
      </c>
    </row>
    <row r="13" spans="3:10" ht="12.75" customHeight="1" x14ac:dyDescent="0.3">
      <c r="C13" s="406" t="s">
        <v>510</v>
      </c>
      <c r="D13" s="429">
        <v>64985</v>
      </c>
      <c r="E13" s="429">
        <v>54056</v>
      </c>
      <c r="F13" s="429">
        <v>70839</v>
      </c>
    </row>
    <row r="14" spans="3:10" ht="12.75" customHeight="1" x14ac:dyDescent="0.3">
      <c r="C14" s="406" t="s">
        <v>511</v>
      </c>
      <c r="D14" s="429">
        <v>10622</v>
      </c>
      <c r="E14" s="429">
        <v>24722</v>
      </c>
      <c r="F14" s="429">
        <v>28378</v>
      </c>
    </row>
    <row r="15" spans="3:10" ht="12.75" customHeight="1" x14ac:dyDescent="0.3">
      <c r="C15" s="406" t="s">
        <v>512</v>
      </c>
      <c r="D15" s="429">
        <v>382684</v>
      </c>
      <c r="E15" s="429">
        <v>336230</v>
      </c>
      <c r="F15" s="429">
        <v>382589</v>
      </c>
    </row>
    <row r="16" spans="3:10" ht="12.75" customHeight="1" x14ac:dyDescent="0.3">
      <c r="C16" s="406" t="s">
        <v>513</v>
      </c>
      <c r="D16" s="429">
        <v>810090</v>
      </c>
      <c r="E16" s="429">
        <v>712621</v>
      </c>
      <c r="F16" s="429">
        <v>719783</v>
      </c>
    </row>
    <row r="17" spans="3:10" ht="12.75" customHeight="1" x14ac:dyDescent="0.3">
      <c r="C17" s="406" t="s">
        <v>514</v>
      </c>
      <c r="D17" s="429">
        <v>96489</v>
      </c>
      <c r="E17" s="429">
        <v>82336</v>
      </c>
      <c r="F17" s="429">
        <v>95004</v>
      </c>
    </row>
    <row r="18" spans="3:10" ht="12.75" customHeight="1" x14ac:dyDescent="0.3">
      <c r="C18" s="518"/>
      <c r="D18" s="519">
        <f t="shared" ref="D18:F18" si="0">SUM(D3:D17)</f>
        <v>5252221</v>
      </c>
      <c r="E18" s="519">
        <f t="shared" si="0"/>
        <v>4938423</v>
      </c>
      <c r="F18" s="519">
        <f t="shared" si="0"/>
        <v>5206013.5</v>
      </c>
      <c r="H18" s="376">
        <f t="shared" ref="H18:I18" si="1">E18/D18-1</f>
        <v>-5.9745772312322698E-2</v>
      </c>
      <c r="I18" s="376">
        <f t="shared" si="1"/>
        <v>5.4185415060637787E-2</v>
      </c>
      <c r="J18" s="520">
        <f>(F18/D18)^(1/2)-1</f>
        <v>-4.4085711108932113E-3</v>
      </c>
    </row>
    <row r="19" spans="3:10" ht="12.75" customHeight="1" x14ac:dyDescent="0.3">
      <c r="D19" s="481"/>
      <c r="E19" s="429"/>
      <c r="F19" s="429"/>
    </row>
    <row r="20" spans="3:10" ht="12.75" customHeight="1" x14ac:dyDescent="0.3">
      <c r="C20" s="517" t="s">
        <v>585</v>
      </c>
      <c r="D20" s="517">
        <v>2019</v>
      </c>
      <c r="E20" s="517">
        <v>2020</v>
      </c>
      <c r="F20" s="517">
        <v>2021</v>
      </c>
      <c r="H20" s="517">
        <v>2020</v>
      </c>
      <c r="I20" s="517">
        <v>2021</v>
      </c>
      <c r="J20" s="517" t="s">
        <v>584</v>
      </c>
    </row>
    <row r="21" spans="3:10" ht="12.75" customHeight="1" x14ac:dyDescent="0.3">
      <c r="C21" s="406" t="s">
        <v>500</v>
      </c>
      <c r="D21" s="429">
        <v>21893669.981000043</v>
      </c>
      <c r="E21" s="429">
        <v>16476910.929999985</v>
      </c>
      <c r="F21" s="429">
        <v>20100721.73999995</v>
      </c>
    </row>
    <row r="22" spans="3:10" ht="12.75" customHeight="1" x14ac:dyDescent="0.3">
      <c r="C22" s="406" t="s">
        <v>501</v>
      </c>
      <c r="D22" s="429">
        <v>1029967.1400000002</v>
      </c>
      <c r="E22" s="429">
        <v>788060.97000000125</v>
      </c>
      <c r="F22" s="429">
        <v>987172.37000000186</v>
      </c>
    </row>
    <row r="23" spans="3:10" ht="12.75" customHeight="1" x14ac:dyDescent="0.3">
      <c r="C23" s="406" t="s">
        <v>502</v>
      </c>
      <c r="D23" s="429">
        <v>19820980.391000006</v>
      </c>
      <c r="E23" s="429">
        <v>14823826.390000008</v>
      </c>
      <c r="F23" s="429">
        <v>20806738.640000004</v>
      </c>
    </row>
    <row r="24" spans="3:10" ht="12.75" customHeight="1" x14ac:dyDescent="0.3">
      <c r="C24" s="406" t="s">
        <v>503</v>
      </c>
      <c r="D24" s="429">
        <v>15049039.205999942</v>
      </c>
      <c r="E24" s="429">
        <v>13601859.249999933</v>
      </c>
      <c r="F24" s="429">
        <v>13819711.78699995</v>
      </c>
    </row>
    <row r="25" spans="3:10" ht="12.75" customHeight="1" x14ac:dyDescent="0.3">
      <c r="C25" s="406" t="s">
        <v>504</v>
      </c>
      <c r="D25" s="429">
        <v>25878376.16300026</v>
      </c>
      <c r="E25" s="429">
        <v>25445111.896999251</v>
      </c>
      <c r="F25" s="429">
        <v>28487442.746998094</v>
      </c>
    </row>
    <row r="26" spans="3:10" ht="12.75" customHeight="1" x14ac:dyDescent="0.3">
      <c r="C26" s="406" t="s">
        <v>505</v>
      </c>
      <c r="D26" s="429">
        <v>3756929.945000004</v>
      </c>
      <c r="E26" s="429">
        <v>3201150.8780000112</v>
      </c>
      <c r="F26" s="429">
        <v>3941049.0399999958</v>
      </c>
    </row>
    <row r="27" spans="3:10" ht="12.75" customHeight="1" x14ac:dyDescent="0.3">
      <c r="C27" s="406" t="s">
        <v>506</v>
      </c>
      <c r="D27" s="429">
        <v>5051974.6799999988</v>
      </c>
      <c r="E27" s="429">
        <v>3822478.6799999992</v>
      </c>
      <c r="F27" s="429">
        <v>6210877</v>
      </c>
    </row>
    <row r="28" spans="3:10" ht="12.75" customHeight="1" x14ac:dyDescent="0.3">
      <c r="C28" s="406" t="s">
        <v>507</v>
      </c>
      <c r="D28" s="429">
        <v>2101728.3120000008</v>
      </c>
      <c r="E28" s="429">
        <v>1285479.1410000005</v>
      </c>
      <c r="F28" s="429">
        <v>1497405.2520000013</v>
      </c>
    </row>
    <row r="29" spans="3:10" ht="12.75" customHeight="1" x14ac:dyDescent="0.3">
      <c r="C29" s="406" t="s">
        <v>508</v>
      </c>
      <c r="D29" s="429">
        <v>3078784.1919999989</v>
      </c>
      <c r="E29" s="429">
        <v>2497891.6120000002</v>
      </c>
      <c r="F29" s="429">
        <v>2851504.0399999912</v>
      </c>
    </row>
    <row r="30" spans="3:10" ht="12.75" customHeight="1" x14ac:dyDescent="0.3">
      <c r="C30" s="406" t="s">
        <v>509</v>
      </c>
      <c r="D30" s="429">
        <v>7300507.1509999661</v>
      </c>
      <c r="E30" s="429">
        <v>8889829.0319999848</v>
      </c>
      <c r="F30" s="429">
        <v>8863888.830999976</v>
      </c>
    </row>
    <row r="31" spans="3:10" ht="12.75" customHeight="1" x14ac:dyDescent="0.3">
      <c r="C31" s="406" t="s">
        <v>510</v>
      </c>
      <c r="D31" s="429">
        <v>6808444.2049999926</v>
      </c>
      <c r="E31" s="429">
        <v>5036178.2939999942</v>
      </c>
      <c r="F31" s="429">
        <v>7443199.1399999969</v>
      </c>
    </row>
    <row r="32" spans="3:10" ht="12.75" customHeight="1" x14ac:dyDescent="0.3">
      <c r="C32" s="406" t="s">
        <v>511</v>
      </c>
      <c r="D32" s="429">
        <v>322104.0500000004</v>
      </c>
      <c r="E32" s="429">
        <v>1017891.5499999998</v>
      </c>
      <c r="F32" s="429">
        <v>466107.9699999998</v>
      </c>
    </row>
    <row r="33" spans="3:10" ht="12.75" customHeight="1" x14ac:dyDescent="0.3">
      <c r="C33" s="406" t="s">
        <v>512</v>
      </c>
      <c r="D33" s="429">
        <v>14397676.256000036</v>
      </c>
      <c r="E33" s="429">
        <v>14150991.032</v>
      </c>
      <c r="F33" s="429">
        <v>14503500.975999948</v>
      </c>
    </row>
    <row r="34" spans="3:10" ht="12.75" customHeight="1" x14ac:dyDescent="0.3">
      <c r="C34" s="406" t="s">
        <v>513</v>
      </c>
      <c r="D34" s="429">
        <v>5383508.3879999314</v>
      </c>
      <c r="E34" s="429">
        <v>3847832.0240000119</v>
      </c>
      <c r="F34" s="429">
        <v>5311024.1440000059</v>
      </c>
    </row>
    <row r="35" spans="3:10" ht="12.75" customHeight="1" x14ac:dyDescent="0.3">
      <c r="C35" s="406" t="s">
        <v>514</v>
      </c>
      <c r="D35" s="429">
        <v>2978022.7839999902</v>
      </c>
      <c r="E35" s="429">
        <v>3223442.4549999982</v>
      </c>
      <c r="F35" s="429">
        <v>3166666.3069999982</v>
      </c>
    </row>
    <row r="36" spans="3:10" ht="12.75" customHeight="1" x14ac:dyDescent="0.3">
      <c r="C36" s="518"/>
      <c r="D36" s="519">
        <v>134851712.84400019</v>
      </c>
      <c r="E36" s="521">
        <v>118108934.1349992</v>
      </c>
      <c r="F36" s="519">
        <v>138457009.98399791</v>
      </c>
      <c r="H36" s="376">
        <f t="shared" ref="H36:I36" si="2">E36/D36-1</f>
        <v>-0.12415695993694531</v>
      </c>
      <c r="I36" s="376">
        <f t="shared" si="2"/>
        <v>0.17228227481708314</v>
      </c>
      <c r="J36" s="520">
        <f>(F36/D36)^(1/2)-1</f>
        <v>1.3279463616936882E-2</v>
      </c>
    </row>
    <row r="37" spans="3:10" ht="12.75" customHeight="1" x14ac:dyDescent="0.3"/>
    <row r="38" spans="3:10" ht="12.75" customHeight="1" x14ac:dyDescent="0.3">
      <c r="C38" s="517" t="s">
        <v>586</v>
      </c>
      <c r="D38" s="517">
        <v>2019</v>
      </c>
      <c r="E38" s="517">
        <v>2020</v>
      </c>
      <c r="F38" s="517">
        <v>2021</v>
      </c>
      <c r="H38" s="517">
        <v>2020</v>
      </c>
      <c r="I38" s="517">
        <v>2021</v>
      </c>
      <c r="J38" s="517" t="s">
        <v>584</v>
      </c>
    </row>
    <row r="39" spans="3:10" ht="12.75" customHeight="1" x14ac:dyDescent="0.3">
      <c r="C39" s="406" t="s">
        <v>500</v>
      </c>
      <c r="D39" s="522">
        <f t="shared" ref="D39:F39" si="3">D21/D3</f>
        <v>174.93244361791415</v>
      </c>
      <c r="E39" s="522">
        <f t="shared" si="3"/>
        <v>134.19428370145934</v>
      </c>
      <c r="F39" s="522">
        <f t="shared" si="3"/>
        <v>177.70793061682727</v>
      </c>
      <c r="J39" s="486">
        <f t="shared" ref="J39:J53" si="4">(F39/D39)^(1/2)-1</f>
        <v>7.9018060219058217E-3</v>
      </c>
    </row>
    <row r="40" spans="3:10" ht="12.75" customHeight="1" x14ac:dyDescent="0.3">
      <c r="C40" s="406" t="s">
        <v>501</v>
      </c>
      <c r="D40" s="522">
        <f t="shared" ref="D40:F40" si="5">D22/D4</f>
        <v>7.0019588434842328</v>
      </c>
      <c r="E40" s="522">
        <f t="shared" si="5"/>
        <v>5.9194844888454989</v>
      </c>
      <c r="F40" s="522">
        <f t="shared" si="5"/>
        <v>7.0233385269928128</v>
      </c>
      <c r="J40" s="486">
        <f t="shared" si="4"/>
        <v>1.5255294088112326E-3</v>
      </c>
    </row>
    <row r="41" spans="3:10" ht="12.75" customHeight="1" x14ac:dyDescent="0.3">
      <c r="C41" s="406" t="s">
        <v>502</v>
      </c>
      <c r="D41" s="522">
        <f t="shared" ref="D41:F41" si="6">D23/D5</f>
        <v>774.16632390735481</v>
      </c>
      <c r="E41" s="522">
        <f t="shared" si="6"/>
        <v>792.3790031002784</v>
      </c>
      <c r="F41" s="522">
        <f t="shared" si="6"/>
        <v>860.13801736254663</v>
      </c>
      <c r="J41" s="486">
        <f t="shared" si="4"/>
        <v>5.4063886016759044E-2</v>
      </c>
    </row>
    <row r="42" spans="3:10" ht="12.75" customHeight="1" x14ac:dyDescent="0.3">
      <c r="C42" s="406" t="s">
        <v>503</v>
      </c>
      <c r="D42" s="522">
        <f t="shared" ref="D42:F42" si="7">D24/D6</f>
        <v>6.1526155420493494</v>
      </c>
      <c r="E42" s="522">
        <f t="shared" si="7"/>
        <v>6.2267686297991327</v>
      </c>
      <c r="F42" s="522">
        <f t="shared" si="7"/>
        <v>5.9036786567526445</v>
      </c>
      <c r="J42" s="486">
        <f t="shared" si="4"/>
        <v>-2.0439044720848121E-2</v>
      </c>
    </row>
    <row r="43" spans="3:10" ht="12.75" customHeight="1" x14ac:dyDescent="0.3">
      <c r="C43" s="406" t="s">
        <v>504</v>
      </c>
      <c r="D43" s="522">
        <f t="shared" ref="D43:F43" si="8">D25/D7</f>
        <v>163.212846962589</v>
      </c>
      <c r="E43" s="522">
        <f t="shared" si="8"/>
        <v>174.77959045636368</v>
      </c>
      <c r="F43" s="522">
        <f t="shared" si="8"/>
        <v>191.52638344346872</v>
      </c>
      <c r="J43" s="486">
        <f t="shared" si="4"/>
        <v>8.3271042249281946E-2</v>
      </c>
    </row>
    <row r="44" spans="3:10" ht="12.75" customHeight="1" x14ac:dyDescent="0.3">
      <c r="C44" s="406" t="s">
        <v>505</v>
      </c>
      <c r="D44" s="522">
        <f t="shared" ref="D44:F44" si="9">D26/D8</f>
        <v>29.831346485203184</v>
      </c>
      <c r="E44" s="522">
        <f t="shared" si="9"/>
        <v>29.999445940753759</v>
      </c>
      <c r="F44" s="522">
        <f t="shared" si="9"/>
        <v>29.859599048383888</v>
      </c>
      <c r="J44" s="486">
        <f t="shared" si="4"/>
        <v>4.7342611616252306E-4</v>
      </c>
    </row>
    <row r="45" spans="3:10" ht="12.75" customHeight="1" x14ac:dyDescent="0.3">
      <c r="C45" s="406" t="s">
        <v>506</v>
      </c>
      <c r="D45" s="522">
        <f t="shared" ref="D45:F45" si="10">D27/D9</f>
        <v>1127.4212631109124</v>
      </c>
      <c r="E45" s="522">
        <f t="shared" si="10"/>
        <v>1157.2748047229788</v>
      </c>
      <c r="F45" s="522">
        <f t="shared" si="10"/>
        <v>1076.40849220104</v>
      </c>
      <c r="J45" s="486">
        <f t="shared" si="4"/>
        <v>-2.2885524862115703E-2</v>
      </c>
    </row>
    <row r="46" spans="3:10" ht="12.75" customHeight="1" x14ac:dyDescent="0.3">
      <c r="C46" s="406" t="s">
        <v>507</v>
      </c>
      <c r="D46" s="522">
        <f t="shared" ref="D46:F46" si="11">D28/D10</f>
        <v>108.58278115313085</v>
      </c>
      <c r="E46" s="522">
        <f t="shared" si="11"/>
        <v>90.705556096528397</v>
      </c>
      <c r="F46" s="522">
        <f t="shared" si="11"/>
        <v>81.032807619460002</v>
      </c>
      <c r="J46" s="486">
        <f t="shared" si="4"/>
        <v>-0.13612687627488795</v>
      </c>
    </row>
    <row r="47" spans="3:10" ht="12.75" customHeight="1" x14ac:dyDescent="0.3">
      <c r="C47" s="406" t="s">
        <v>508</v>
      </c>
      <c r="D47" s="522">
        <f t="shared" ref="D47:F47" si="12">D29/D11</f>
        <v>78.596553456550566</v>
      </c>
      <c r="E47" s="522">
        <f t="shared" si="12"/>
        <v>86.937617012390376</v>
      </c>
      <c r="F47" s="522">
        <f t="shared" si="12"/>
        <v>73.878903541725819</v>
      </c>
      <c r="J47" s="486">
        <f t="shared" si="4"/>
        <v>-3.0476211363442585E-2</v>
      </c>
    </row>
    <row r="48" spans="3:10" ht="12.75" customHeight="1" x14ac:dyDescent="0.3">
      <c r="C48" s="406" t="s">
        <v>509</v>
      </c>
      <c r="D48" s="522">
        <f t="shared" ref="D48:F48" si="13">D30/D12</f>
        <v>9.1710996653408845</v>
      </c>
      <c r="E48" s="522">
        <f t="shared" si="13"/>
        <v>9.1560786428555829</v>
      </c>
      <c r="F48" s="522">
        <f t="shared" si="13"/>
        <v>9.3587021300183046</v>
      </c>
      <c r="J48" s="486">
        <f t="shared" si="4"/>
        <v>1.0176138592894235E-2</v>
      </c>
    </row>
    <row r="49" spans="3:10" ht="12.75" customHeight="1" x14ac:dyDescent="0.3">
      <c r="C49" s="406" t="s">
        <v>510</v>
      </c>
      <c r="D49" s="522">
        <f t="shared" ref="D49:F49" si="14">D31/D13</f>
        <v>104.7694730322381</v>
      </c>
      <c r="E49" s="522">
        <f t="shared" si="14"/>
        <v>93.165944464999157</v>
      </c>
      <c r="F49" s="522">
        <f t="shared" si="14"/>
        <v>105.07205268284415</v>
      </c>
      <c r="J49" s="486">
        <f t="shared" si="4"/>
        <v>1.4429847280048591E-3</v>
      </c>
    </row>
    <row r="50" spans="3:10" ht="12.75" customHeight="1" x14ac:dyDescent="0.3">
      <c r="C50" s="406" t="s">
        <v>511</v>
      </c>
      <c r="D50" s="522">
        <f t="shared" ref="D50:F50" si="15">D32/D14</f>
        <v>30.32423743174547</v>
      </c>
      <c r="E50" s="522">
        <f t="shared" si="15"/>
        <v>41.173511447293897</v>
      </c>
      <c r="F50" s="522">
        <f t="shared" si="15"/>
        <v>16.424976037775735</v>
      </c>
      <c r="J50" s="486">
        <f t="shared" si="4"/>
        <v>-0.26403454776659518</v>
      </c>
    </row>
    <row r="51" spans="3:10" ht="12.75" customHeight="1" x14ac:dyDescent="0.3">
      <c r="C51" s="406" t="s">
        <v>512</v>
      </c>
      <c r="D51" s="522">
        <f t="shared" ref="D51:F51" si="16">D33/D15</f>
        <v>37.622885346656865</v>
      </c>
      <c r="E51" s="522">
        <f t="shared" si="16"/>
        <v>42.087235023644531</v>
      </c>
      <c r="F51" s="522">
        <f t="shared" si="16"/>
        <v>37.908828994037854</v>
      </c>
      <c r="J51" s="486">
        <f t="shared" si="4"/>
        <v>3.7929359783672734E-3</v>
      </c>
    </row>
    <row r="52" spans="3:10" ht="12.75" customHeight="1" x14ac:dyDescent="0.3">
      <c r="C52" s="406" t="s">
        <v>513</v>
      </c>
      <c r="D52" s="522">
        <f t="shared" ref="D52:F52" si="17">D34/D16</f>
        <v>6.6455682553789472</v>
      </c>
      <c r="E52" s="522">
        <f t="shared" si="17"/>
        <v>5.3995490225519767</v>
      </c>
      <c r="F52" s="522">
        <f t="shared" si="17"/>
        <v>7.3786462642213086</v>
      </c>
      <c r="J52" s="486">
        <f t="shared" si="4"/>
        <v>5.3712868265459512E-2</v>
      </c>
    </row>
    <row r="53" spans="3:10" ht="12.75" customHeight="1" x14ac:dyDescent="0.3">
      <c r="C53" s="406" t="s">
        <v>514</v>
      </c>
      <c r="D53" s="522">
        <f t="shared" ref="D53:F53" si="18">D35/D17</f>
        <v>30.863857890536643</v>
      </c>
      <c r="E53" s="522">
        <f t="shared" si="18"/>
        <v>39.149854923727148</v>
      </c>
      <c r="F53" s="522">
        <f t="shared" si="18"/>
        <v>33.331926097848495</v>
      </c>
      <c r="J53" s="486">
        <f t="shared" si="4"/>
        <v>3.9214265632297352E-2</v>
      </c>
    </row>
    <row r="54" spans="3:10" ht="12.75" customHeight="1" x14ac:dyDescent="0.3">
      <c r="C54" s="518"/>
      <c r="D54" s="519"/>
      <c r="E54" s="521"/>
      <c r="F54" s="519"/>
    </row>
    <row r="55" spans="3:10" ht="12.75" customHeight="1" x14ac:dyDescent="0.3"/>
    <row r="56" spans="3:10" ht="12.75" customHeight="1" x14ac:dyDescent="0.3">
      <c r="C56" s="523" t="s">
        <v>587</v>
      </c>
      <c r="D56" s="524">
        <v>2019</v>
      </c>
      <c r="E56" s="524">
        <v>2020</v>
      </c>
      <c r="F56" s="525">
        <v>2021</v>
      </c>
    </row>
    <row r="57" spans="3:10" ht="12.75" customHeight="1" x14ac:dyDescent="0.3">
      <c r="C57" s="478" t="s">
        <v>588</v>
      </c>
      <c r="D57" s="375">
        <f>'Surgical items analysis'!B36</f>
        <v>34304</v>
      </c>
      <c r="E57" s="375">
        <f>'Surgical items analysis'!C36</f>
        <v>24384</v>
      </c>
      <c r="F57" s="526">
        <f>'Surgical items analysis'!D36</f>
        <v>26363</v>
      </c>
    </row>
    <row r="58" spans="3:10" ht="12.75" customHeight="1" x14ac:dyDescent="0.3">
      <c r="C58" s="478" t="s">
        <v>589</v>
      </c>
      <c r="D58" s="375">
        <f>'Vasc. Items analysis'!B19</f>
        <v>4753</v>
      </c>
      <c r="E58" s="375">
        <f>'Vasc. Items analysis'!C19</f>
        <v>3628</v>
      </c>
      <c r="F58" s="526">
        <f>'Vasc. Items analysis'!D19</f>
        <v>3834</v>
      </c>
    </row>
    <row r="59" spans="3:10" ht="12.75" customHeight="1" x14ac:dyDescent="0.3">
      <c r="C59" s="527" t="s">
        <v>590</v>
      </c>
      <c r="D59" s="528">
        <f t="shared" ref="D59:F59" si="19">D57+D58</f>
        <v>39057</v>
      </c>
      <c r="E59" s="528">
        <f t="shared" si="19"/>
        <v>28012</v>
      </c>
      <c r="F59" s="529">
        <f t="shared" si="19"/>
        <v>30197</v>
      </c>
    </row>
    <row r="60" spans="3:10" ht="12.75" customHeight="1" x14ac:dyDescent="0.3">
      <c r="C60" s="530" t="s">
        <v>591</v>
      </c>
      <c r="D60" s="531">
        <f t="shared" ref="D60:F60" si="20">D59/D18</f>
        <v>7.4362826697505682E-3</v>
      </c>
      <c r="E60" s="531">
        <f t="shared" si="20"/>
        <v>5.6722561028085278E-3</v>
      </c>
      <c r="F60" s="532">
        <f t="shared" si="20"/>
        <v>5.8004075479251059E-3</v>
      </c>
    </row>
    <row r="61" spans="3:10" ht="12.75" customHeight="1" x14ac:dyDescent="0.3"/>
    <row r="62" spans="3:10" ht="12.75" customHeight="1" x14ac:dyDescent="0.3"/>
    <row r="63" spans="3:10" ht="12.75" customHeight="1" x14ac:dyDescent="0.3"/>
    <row r="64" spans="3:10"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row r="272" ht="12.75" customHeight="1" x14ac:dyDescent="0.3"/>
    <row r="273" ht="12.75" customHeight="1" x14ac:dyDescent="0.3"/>
    <row r="274" ht="12.75" customHeight="1" x14ac:dyDescent="0.3"/>
    <row r="275" ht="12.75" customHeight="1" x14ac:dyDescent="0.3"/>
    <row r="276" ht="12.75" customHeight="1" x14ac:dyDescent="0.3"/>
    <row r="277" ht="12.75" customHeight="1" x14ac:dyDescent="0.3"/>
    <row r="278" ht="12.75" customHeight="1" x14ac:dyDescent="0.3"/>
    <row r="279" ht="12.75" customHeight="1" x14ac:dyDescent="0.3"/>
    <row r="280" ht="12.75" customHeight="1" x14ac:dyDescent="0.3"/>
    <row r="281" ht="12.75" customHeight="1" x14ac:dyDescent="0.3"/>
    <row r="282" ht="12.75" customHeight="1" x14ac:dyDescent="0.3"/>
    <row r="283" ht="12.75" customHeight="1" x14ac:dyDescent="0.3"/>
    <row r="284" ht="12.75" customHeight="1" x14ac:dyDescent="0.3"/>
    <row r="285" ht="12.75" customHeight="1" x14ac:dyDescent="0.3"/>
    <row r="286" ht="12.75" customHeight="1" x14ac:dyDescent="0.3"/>
    <row r="287" ht="12.75" customHeight="1" x14ac:dyDescent="0.3"/>
    <row r="288" ht="12.75" customHeight="1" x14ac:dyDescent="0.3"/>
    <row r="289" ht="12.75" customHeight="1" x14ac:dyDescent="0.3"/>
    <row r="290" ht="12.75" customHeight="1" x14ac:dyDescent="0.3"/>
    <row r="291" ht="12.75" customHeight="1" x14ac:dyDescent="0.3"/>
    <row r="292" ht="12.75" customHeight="1" x14ac:dyDescent="0.3"/>
    <row r="293" ht="12.75" customHeight="1" x14ac:dyDescent="0.3"/>
    <row r="294" ht="12.75" customHeight="1" x14ac:dyDescent="0.3"/>
    <row r="295" ht="12.75" customHeight="1" x14ac:dyDescent="0.3"/>
    <row r="296" ht="12.75" customHeight="1" x14ac:dyDescent="0.3"/>
    <row r="297" ht="12.75" customHeight="1" x14ac:dyDescent="0.3"/>
    <row r="298" ht="12.75" customHeight="1" x14ac:dyDescent="0.3"/>
    <row r="299" ht="12.75" customHeight="1" x14ac:dyDescent="0.3"/>
    <row r="300" ht="12.75" customHeight="1" x14ac:dyDescent="0.3"/>
    <row r="301" ht="12.75" customHeight="1" x14ac:dyDescent="0.3"/>
    <row r="302" ht="12.75" customHeight="1" x14ac:dyDescent="0.3"/>
    <row r="303" ht="12.75" customHeight="1" x14ac:dyDescent="0.3"/>
    <row r="304" ht="12.75" customHeight="1" x14ac:dyDescent="0.3"/>
    <row r="305" ht="12.75" customHeight="1" x14ac:dyDescent="0.3"/>
    <row r="306" ht="12.75" customHeight="1" x14ac:dyDescent="0.3"/>
    <row r="307" ht="12.75" customHeight="1" x14ac:dyDescent="0.3"/>
    <row r="308" ht="12.75" customHeight="1" x14ac:dyDescent="0.3"/>
    <row r="309" ht="12.75" customHeight="1" x14ac:dyDescent="0.3"/>
    <row r="310" ht="12.75" customHeight="1" x14ac:dyDescent="0.3"/>
    <row r="311" ht="12.75" customHeight="1" x14ac:dyDescent="0.3"/>
    <row r="312" ht="12.75" customHeight="1" x14ac:dyDescent="0.3"/>
    <row r="313" ht="12.75" customHeight="1" x14ac:dyDescent="0.3"/>
    <row r="314" ht="12.75" customHeight="1" x14ac:dyDescent="0.3"/>
    <row r="315" ht="12.75" customHeight="1" x14ac:dyDescent="0.3"/>
    <row r="316" ht="12.75" customHeight="1" x14ac:dyDescent="0.3"/>
    <row r="317" ht="12.75" customHeight="1" x14ac:dyDescent="0.3"/>
    <row r="318" ht="12.75" customHeight="1" x14ac:dyDescent="0.3"/>
    <row r="319" ht="12.75" customHeight="1" x14ac:dyDescent="0.3"/>
    <row r="320" ht="12.75" customHeight="1" x14ac:dyDescent="0.3"/>
    <row r="321" ht="12.75" customHeight="1" x14ac:dyDescent="0.3"/>
    <row r="322" ht="12.75" customHeight="1" x14ac:dyDescent="0.3"/>
    <row r="323" ht="12.75" customHeight="1" x14ac:dyDescent="0.3"/>
    <row r="324" ht="12.75" customHeight="1" x14ac:dyDescent="0.3"/>
    <row r="325" ht="12.75" customHeight="1" x14ac:dyDescent="0.3"/>
    <row r="326" ht="12.75" customHeight="1" x14ac:dyDescent="0.3"/>
    <row r="327" ht="12.75" customHeight="1" x14ac:dyDescent="0.3"/>
    <row r="328" ht="12.75" customHeight="1" x14ac:dyDescent="0.3"/>
    <row r="329" ht="12.75" customHeight="1" x14ac:dyDescent="0.3"/>
    <row r="330" ht="12.75" customHeight="1" x14ac:dyDescent="0.3"/>
    <row r="331" ht="12.75" customHeight="1" x14ac:dyDescent="0.3"/>
    <row r="332" ht="12.75" customHeight="1" x14ac:dyDescent="0.3"/>
    <row r="333" ht="12.75" customHeight="1" x14ac:dyDescent="0.3"/>
    <row r="334" ht="12.75" customHeight="1" x14ac:dyDescent="0.3"/>
    <row r="335" ht="12.75" customHeight="1" x14ac:dyDescent="0.3"/>
    <row r="336" ht="12.75" customHeight="1" x14ac:dyDescent="0.3"/>
    <row r="337" ht="12.75" customHeight="1" x14ac:dyDescent="0.3"/>
    <row r="338" ht="12.75" customHeight="1" x14ac:dyDescent="0.3"/>
    <row r="339" ht="12.75" customHeight="1" x14ac:dyDescent="0.3"/>
    <row r="340" ht="12.75" customHeight="1" x14ac:dyDescent="0.3"/>
    <row r="341" ht="12.75" customHeight="1" x14ac:dyDescent="0.3"/>
    <row r="342" ht="12.75" customHeight="1" x14ac:dyDescent="0.3"/>
    <row r="343" ht="12.75" customHeight="1" x14ac:dyDescent="0.3"/>
    <row r="344" ht="12.75" customHeight="1" x14ac:dyDescent="0.3"/>
    <row r="345" ht="12.75" customHeight="1" x14ac:dyDescent="0.3"/>
    <row r="346" ht="12.75" customHeight="1" x14ac:dyDescent="0.3"/>
    <row r="347" ht="12.75" customHeight="1" x14ac:dyDescent="0.3"/>
    <row r="348" ht="12.75" customHeight="1" x14ac:dyDescent="0.3"/>
    <row r="349" ht="12.75" customHeight="1" x14ac:dyDescent="0.3"/>
    <row r="350" ht="12.75" customHeight="1" x14ac:dyDescent="0.3"/>
    <row r="351" ht="12.75" customHeight="1" x14ac:dyDescent="0.3"/>
    <row r="352" ht="12.75" customHeight="1" x14ac:dyDescent="0.3"/>
    <row r="353" ht="12.75" customHeight="1" x14ac:dyDescent="0.3"/>
    <row r="354" ht="12.75" customHeight="1" x14ac:dyDescent="0.3"/>
    <row r="355" ht="12.75" customHeight="1" x14ac:dyDescent="0.3"/>
    <row r="356" ht="12.75" customHeight="1" x14ac:dyDescent="0.3"/>
    <row r="357" ht="12.75" customHeight="1" x14ac:dyDescent="0.3"/>
    <row r="358" ht="12.75" customHeight="1" x14ac:dyDescent="0.3"/>
    <row r="359" ht="12.75" customHeight="1" x14ac:dyDescent="0.3"/>
    <row r="360" ht="12.75" customHeight="1" x14ac:dyDescent="0.3"/>
    <row r="361" ht="12.75" customHeight="1" x14ac:dyDescent="0.3"/>
    <row r="362" ht="12.75" customHeight="1" x14ac:dyDescent="0.3"/>
    <row r="363" ht="12.75" customHeight="1" x14ac:dyDescent="0.3"/>
    <row r="364" ht="12.75" customHeight="1" x14ac:dyDescent="0.3"/>
    <row r="365" ht="12.75" customHeight="1" x14ac:dyDescent="0.3"/>
    <row r="366" ht="12.75" customHeight="1" x14ac:dyDescent="0.3"/>
    <row r="367" ht="12.75" customHeight="1" x14ac:dyDescent="0.3"/>
    <row r="368" ht="12.75" customHeight="1" x14ac:dyDescent="0.3"/>
    <row r="369" ht="12.75" customHeight="1" x14ac:dyDescent="0.3"/>
    <row r="370" ht="12.75" customHeight="1" x14ac:dyDescent="0.3"/>
    <row r="371" ht="12.75" customHeight="1" x14ac:dyDescent="0.3"/>
    <row r="372" ht="12.75" customHeight="1" x14ac:dyDescent="0.3"/>
    <row r="373" ht="12.75" customHeight="1" x14ac:dyDescent="0.3"/>
    <row r="374" ht="12.75" customHeight="1" x14ac:dyDescent="0.3"/>
    <row r="375" ht="12.75" customHeight="1" x14ac:dyDescent="0.3"/>
    <row r="376" ht="12.75" customHeight="1" x14ac:dyDescent="0.3"/>
    <row r="377" ht="12.75" customHeight="1" x14ac:dyDescent="0.3"/>
    <row r="378" ht="12.75" customHeight="1" x14ac:dyDescent="0.3"/>
    <row r="379" ht="12.75" customHeight="1" x14ac:dyDescent="0.3"/>
    <row r="380" ht="12.75" customHeight="1" x14ac:dyDescent="0.3"/>
    <row r="381" ht="12.75" customHeight="1" x14ac:dyDescent="0.3"/>
    <row r="382" ht="12.75" customHeight="1" x14ac:dyDescent="0.3"/>
    <row r="383" ht="12.75" customHeight="1" x14ac:dyDescent="0.3"/>
    <row r="384" ht="12.75" customHeight="1" x14ac:dyDescent="0.3"/>
    <row r="385" ht="12.75" customHeight="1" x14ac:dyDescent="0.3"/>
    <row r="386" ht="12.75" customHeight="1" x14ac:dyDescent="0.3"/>
    <row r="387" ht="12.75" customHeight="1" x14ac:dyDescent="0.3"/>
    <row r="388" ht="12.75" customHeight="1" x14ac:dyDescent="0.3"/>
    <row r="389" ht="12.75" customHeight="1" x14ac:dyDescent="0.3"/>
    <row r="390" ht="12.75" customHeight="1" x14ac:dyDescent="0.3"/>
    <row r="391" ht="12.75" customHeight="1" x14ac:dyDescent="0.3"/>
    <row r="392" ht="12.75" customHeight="1" x14ac:dyDescent="0.3"/>
    <row r="393" ht="12.75" customHeight="1" x14ac:dyDescent="0.3"/>
    <row r="394" ht="12.75" customHeight="1" x14ac:dyDescent="0.3"/>
    <row r="395" ht="12.75" customHeight="1" x14ac:dyDescent="0.3"/>
    <row r="396" ht="12.75" customHeight="1" x14ac:dyDescent="0.3"/>
    <row r="397" ht="12.75" customHeight="1" x14ac:dyDescent="0.3"/>
    <row r="398" ht="12.75" customHeight="1" x14ac:dyDescent="0.3"/>
    <row r="399" ht="12.75" customHeight="1" x14ac:dyDescent="0.3"/>
    <row r="400" ht="12.75" customHeight="1" x14ac:dyDescent="0.3"/>
    <row r="401" ht="12.75" customHeight="1" x14ac:dyDescent="0.3"/>
    <row r="402" ht="12.75" customHeight="1" x14ac:dyDescent="0.3"/>
    <row r="403" ht="12.75" customHeight="1" x14ac:dyDescent="0.3"/>
    <row r="404" ht="12.75" customHeight="1" x14ac:dyDescent="0.3"/>
    <row r="405" ht="12.75" customHeight="1" x14ac:dyDescent="0.3"/>
    <row r="406" ht="12.75" customHeight="1" x14ac:dyDescent="0.3"/>
    <row r="407" ht="12.75" customHeight="1" x14ac:dyDescent="0.3"/>
    <row r="408" ht="12.75" customHeight="1" x14ac:dyDescent="0.3"/>
    <row r="409" ht="12.75" customHeight="1" x14ac:dyDescent="0.3"/>
    <row r="410" ht="12.75" customHeight="1" x14ac:dyDescent="0.3"/>
    <row r="411" ht="12.75" customHeight="1" x14ac:dyDescent="0.3"/>
    <row r="412" ht="12.75" customHeight="1" x14ac:dyDescent="0.3"/>
    <row r="413" ht="12.75" customHeight="1" x14ac:dyDescent="0.3"/>
    <row r="414" ht="12.75" customHeight="1" x14ac:dyDescent="0.3"/>
    <row r="415" ht="12.75" customHeight="1" x14ac:dyDescent="0.3"/>
    <row r="416" ht="12.75" customHeight="1" x14ac:dyDescent="0.3"/>
    <row r="417" ht="12.75" customHeight="1" x14ac:dyDescent="0.3"/>
    <row r="418" ht="12.75" customHeight="1" x14ac:dyDescent="0.3"/>
    <row r="419" ht="12.75" customHeight="1" x14ac:dyDescent="0.3"/>
    <row r="420" ht="12.75" customHeight="1" x14ac:dyDescent="0.3"/>
    <row r="421" ht="12.75" customHeight="1" x14ac:dyDescent="0.3"/>
    <row r="422" ht="12.75" customHeight="1" x14ac:dyDescent="0.3"/>
    <row r="423" ht="12.75" customHeight="1" x14ac:dyDescent="0.3"/>
    <row r="424" ht="12.75" customHeight="1" x14ac:dyDescent="0.3"/>
    <row r="425" ht="12.75" customHeight="1" x14ac:dyDescent="0.3"/>
    <row r="426" ht="12.75" customHeight="1" x14ac:dyDescent="0.3"/>
    <row r="427" ht="12.75" customHeight="1" x14ac:dyDescent="0.3"/>
    <row r="428" ht="12.75" customHeight="1" x14ac:dyDescent="0.3"/>
    <row r="429" ht="12.75" customHeight="1" x14ac:dyDescent="0.3"/>
    <row r="430" ht="12.75" customHeight="1" x14ac:dyDescent="0.3"/>
    <row r="431" ht="12.75" customHeight="1" x14ac:dyDescent="0.3"/>
    <row r="432" ht="12.75" customHeight="1" x14ac:dyDescent="0.3"/>
    <row r="433" ht="12.75" customHeight="1" x14ac:dyDescent="0.3"/>
    <row r="434" ht="12.75" customHeight="1" x14ac:dyDescent="0.3"/>
    <row r="435" ht="12.75" customHeight="1" x14ac:dyDescent="0.3"/>
    <row r="436" ht="12.75" customHeight="1" x14ac:dyDescent="0.3"/>
    <row r="437" ht="12.75" customHeight="1" x14ac:dyDescent="0.3"/>
    <row r="438" ht="12.75" customHeight="1" x14ac:dyDescent="0.3"/>
    <row r="439" ht="12.75" customHeight="1" x14ac:dyDescent="0.3"/>
    <row r="440" ht="12.75" customHeight="1" x14ac:dyDescent="0.3"/>
    <row r="441" ht="12.75" customHeight="1" x14ac:dyDescent="0.3"/>
    <row r="442" ht="12.75" customHeight="1" x14ac:dyDescent="0.3"/>
    <row r="443" ht="12.75" customHeight="1" x14ac:dyDescent="0.3"/>
    <row r="444" ht="12.75" customHeight="1" x14ac:dyDescent="0.3"/>
    <row r="445" ht="12.75" customHeight="1" x14ac:dyDescent="0.3"/>
    <row r="446" ht="12.75" customHeight="1" x14ac:dyDescent="0.3"/>
    <row r="447" ht="12.75" customHeight="1" x14ac:dyDescent="0.3"/>
    <row r="448" ht="12.75" customHeight="1" x14ac:dyDescent="0.3"/>
    <row r="449" ht="12.75" customHeight="1" x14ac:dyDescent="0.3"/>
    <row r="450" ht="12.75" customHeight="1" x14ac:dyDescent="0.3"/>
    <row r="451" ht="12.75" customHeight="1" x14ac:dyDescent="0.3"/>
    <row r="452" ht="12.75" customHeight="1" x14ac:dyDescent="0.3"/>
    <row r="453" ht="12.75" customHeight="1" x14ac:dyDescent="0.3"/>
    <row r="454" ht="12.75" customHeight="1" x14ac:dyDescent="0.3"/>
    <row r="455" ht="12.75" customHeight="1" x14ac:dyDescent="0.3"/>
    <row r="456" ht="12.75" customHeight="1" x14ac:dyDescent="0.3"/>
    <row r="457" ht="12.75" customHeight="1" x14ac:dyDescent="0.3"/>
    <row r="458" ht="12.75" customHeight="1" x14ac:dyDescent="0.3"/>
    <row r="459" ht="12.75" customHeight="1" x14ac:dyDescent="0.3"/>
    <row r="460" ht="12.75" customHeight="1" x14ac:dyDescent="0.3"/>
    <row r="461" ht="12.75" customHeight="1" x14ac:dyDescent="0.3"/>
    <row r="462" ht="12.75" customHeight="1" x14ac:dyDescent="0.3"/>
    <row r="463" ht="12.75" customHeight="1" x14ac:dyDescent="0.3"/>
    <row r="464" ht="12.75" customHeight="1" x14ac:dyDescent="0.3"/>
    <row r="465" ht="12.75" customHeight="1" x14ac:dyDescent="0.3"/>
    <row r="466" ht="12.75" customHeight="1" x14ac:dyDescent="0.3"/>
    <row r="467" ht="12.75" customHeight="1" x14ac:dyDescent="0.3"/>
    <row r="468" ht="12.75" customHeight="1" x14ac:dyDescent="0.3"/>
    <row r="469" ht="12.75" customHeight="1" x14ac:dyDescent="0.3"/>
    <row r="470" ht="12.75" customHeight="1" x14ac:dyDescent="0.3"/>
    <row r="471" ht="12.75" customHeight="1" x14ac:dyDescent="0.3"/>
    <row r="472" ht="12.75" customHeight="1" x14ac:dyDescent="0.3"/>
    <row r="473" ht="12.75" customHeight="1" x14ac:dyDescent="0.3"/>
    <row r="474" ht="12.75" customHeight="1" x14ac:dyDescent="0.3"/>
    <row r="475" ht="12.75" customHeight="1" x14ac:dyDescent="0.3"/>
    <row r="476" ht="12.75" customHeight="1" x14ac:dyDescent="0.3"/>
    <row r="477" ht="12.75" customHeight="1" x14ac:dyDescent="0.3"/>
    <row r="478" ht="12.75" customHeight="1" x14ac:dyDescent="0.3"/>
    <row r="479" ht="12.75" customHeight="1" x14ac:dyDescent="0.3"/>
    <row r="480" ht="12.75" customHeight="1" x14ac:dyDescent="0.3"/>
    <row r="481" ht="12.75" customHeight="1" x14ac:dyDescent="0.3"/>
    <row r="482" ht="12.75" customHeight="1" x14ac:dyDescent="0.3"/>
    <row r="483" ht="12.75" customHeight="1" x14ac:dyDescent="0.3"/>
    <row r="484" ht="12.75" customHeight="1" x14ac:dyDescent="0.3"/>
    <row r="485" ht="12.75" customHeight="1" x14ac:dyDescent="0.3"/>
    <row r="486" ht="12.75" customHeight="1" x14ac:dyDescent="0.3"/>
    <row r="487" ht="12.75" customHeight="1" x14ac:dyDescent="0.3"/>
    <row r="488" ht="12.75" customHeight="1" x14ac:dyDescent="0.3"/>
    <row r="489" ht="12.75" customHeight="1" x14ac:dyDescent="0.3"/>
    <row r="490" ht="12.75" customHeight="1" x14ac:dyDescent="0.3"/>
    <row r="491" ht="12.75" customHeight="1" x14ac:dyDescent="0.3"/>
    <row r="492" ht="12.75" customHeight="1" x14ac:dyDescent="0.3"/>
    <row r="493" ht="12.75" customHeight="1" x14ac:dyDescent="0.3"/>
    <row r="494" ht="12.75" customHeight="1" x14ac:dyDescent="0.3"/>
    <row r="495" ht="12.75" customHeight="1" x14ac:dyDescent="0.3"/>
    <row r="496" ht="12.75" customHeight="1" x14ac:dyDescent="0.3"/>
    <row r="497" ht="12.75" customHeight="1" x14ac:dyDescent="0.3"/>
    <row r="498" ht="12.75" customHeight="1" x14ac:dyDescent="0.3"/>
    <row r="499" ht="12.75" customHeight="1" x14ac:dyDescent="0.3"/>
    <row r="500" ht="12.75" customHeight="1" x14ac:dyDescent="0.3"/>
    <row r="501" ht="12.75" customHeight="1" x14ac:dyDescent="0.3"/>
    <row r="502" ht="12.75" customHeight="1" x14ac:dyDescent="0.3"/>
    <row r="503" ht="12.75" customHeight="1" x14ac:dyDescent="0.3"/>
    <row r="504" ht="12.75" customHeight="1" x14ac:dyDescent="0.3"/>
    <row r="505" ht="12.75" customHeight="1" x14ac:dyDescent="0.3"/>
    <row r="506" ht="12.75" customHeight="1" x14ac:dyDescent="0.3"/>
    <row r="507" ht="12.75" customHeight="1" x14ac:dyDescent="0.3"/>
    <row r="508" ht="12.75" customHeight="1" x14ac:dyDescent="0.3"/>
    <row r="509" ht="12.75" customHeight="1" x14ac:dyDescent="0.3"/>
    <row r="510" ht="12.75" customHeight="1" x14ac:dyDescent="0.3"/>
    <row r="511" ht="12.75" customHeight="1" x14ac:dyDescent="0.3"/>
    <row r="512" ht="12.75" customHeight="1" x14ac:dyDescent="0.3"/>
    <row r="513" ht="12.75" customHeight="1" x14ac:dyDescent="0.3"/>
    <row r="514" ht="12.75" customHeight="1" x14ac:dyDescent="0.3"/>
    <row r="515" ht="12.75" customHeight="1" x14ac:dyDescent="0.3"/>
    <row r="516" ht="12.75" customHeight="1" x14ac:dyDescent="0.3"/>
    <row r="517" ht="12.75" customHeight="1" x14ac:dyDescent="0.3"/>
    <row r="518" ht="12.75" customHeight="1" x14ac:dyDescent="0.3"/>
    <row r="519" ht="12.75" customHeight="1" x14ac:dyDescent="0.3"/>
    <row r="520" ht="12.75" customHeight="1" x14ac:dyDescent="0.3"/>
    <row r="521" ht="12.75" customHeight="1" x14ac:dyDescent="0.3"/>
    <row r="522" ht="12.75" customHeight="1" x14ac:dyDescent="0.3"/>
    <row r="523" ht="12.75" customHeight="1" x14ac:dyDescent="0.3"/>
    <row r="524" ht="12.75" customHeight="1" x14ac:dyDescent="0.3"/>
    <row r="525" ht="12.75" customHeight="1" x14ac:dyDescent="0.3"/>
    <row r="526" ht="12.75" customHeight="1" x14ac:dyDescent="0.3"/>
    <row r="527" ht="12.75" customHeight="1" x14ac:dyDescent="0.3"/>
    <row r="528" ht="12.75" customHeight="1" x14ac:dyDescent="0.3"/>
    <row r="529" ht="12.75" customHeight="1" x14ac:dyDescent="0.3"/>
    <row r="530" ht="12.75" customHeight="1" x14ac:dyDescent="0.3"/>
    <row r="531" ht="12.75" customHeight="1" x14ac:dyDescent="0.3"/>
    <row r="532" ht="12.75" customHeight="1" x14ac:dyDescent="0.3"/>
    <row r="533" ht="12.75" customHeight="1" x14ac:dyDescent="0.3"/>
    <row r="534" ht="12.75" customHeight="1" x14ac:dyDescent="0.3"/>
    <row r="535" ht="12.75" customHeight="1" x14ac:dyDescent="0.3"/>
    <row r="536" ht="12.75" customHeight="1" x14ac:dyDescent="0.3"/>
    <row r="537" ht="12.75" customHeight="1" x14ac:dyDescent="0.3"/>
    <row r="538" ht="12.75" customHeight="1" x14ac:dyDescent="0.3"/>
    <row r="539" ht="12.75" customHeight="1" x14ac:dyDescent="0.3"/>
    <row r="540" ht="12.75" customHeight="1" x14ac:dyDescent="0.3"/>
    <row r="541" ht="12.75" customHeight="1" x14ac:dyDescent="0.3"/>
    <row r="542" ht="12.75" customHeight="1" x14ac:dyDescent="0.3"/>
    <row r="543" ht="12.75" customHeight="1" x14ac:dyDescent="0.3"/>
    <row r="544" ht="12.75" customHeight="1" x14ac:dyDescent="0.3"/>
    <row r="545" ht="12.75" customHeight="1" x14ac:dyDescent="0.3"/>
    <row r="546" ht="12.75" customHeight="1" x14ac:dyDescent="0.3"/>
    <row r="547" ht="12.75" customHeight="1" x14ac:dyDescent="0.3"/>
    <row r="548" ht="12.75" customHeight="1" x14ac:dyDescent="0.3"/>
    <row r="549" ht="12.75" customHeight="1" x14ac:dyDescent="0.3"/>
    <row r="550" ht="12.75" customHeight="1" x14ac:dyDescent="0.3"/>
    <row r="551" ht="12.75" customHeight="1" x14ac:dyDescent="0.3"/>
    <row r="552" ht="12.75" customHeight="1" x14ac:dyDescent="0.3"/>
    <row r="553" ht="12.75" customHeight="1" x14ac:dyDescent="0.3"/>
    <row r="554" ht="12.75" customHeight="1" x14ac:dyDescent="0.3"/>
    <row r="555" ht="12.75" customHeight="1" x14ac:dyDescent="0.3"/>
    <row r="556" ht="12.75" customHeight="1" x14ac:dyDescent="0.3"/>
    <row r="557" ht="12.75" customHeight="1" x14ac:dyDescent="0.3"/>
    <row r="558" ht="12.75" customHeight="1" x14ac:dyDescent="0.3"/>
    <row r="559" ht="12.75" customHeight="1" x14ac:dyDescent="0.3"/>
    <row r="560" ht="12.75" customHeight="1" x14ac:dyDescent="0.3"/>
    <row r="561" ht="12.75" customHeight="1" x14ac:dyDescent="0.3"/>
    <row r="562" ht="12.75" customHeight="1" x14ac:dyDescent="0.3"/>
    <row r="563" ht="12.75" customHeight="1" x14ac:dyDescent="0.3"/>
    <row r="564" ht="12.75" customHeight="1" x14ac:dyDescent="0.3"/>
    <row r="565" ht="12.75" customHeight="1" x14ac:dyDescent="0.3"/>
    <row r="566" ht="12.75" customHeight="1" x14ac:dyDescent="0.3"/>
    <row r="567" ht="12.75" customHeight="1" x14ac:dyDescent="0.3"/>
    <row r="568" ht="12.75" customHeight="1" x14ac:dyDescent="0.3"/>
    <row r="569" ht="12.75" customHeight="1" x14ac:dyDescent="0.3"/>
    <row r="570" ht="12.75" customHeight="1" x14ac:dyDescent="0.3"/>
    <row r="571" ht="12.75" customHeight="1" x14ac:dyDescent="0.3"/>
    <row r="572" ht="12.75" customHeight="1" x14ac:dyDescent="0.3"/>
    <row r="573" ht="12.75" customHeight="1" x14ac:dyDescent="0.3"/>
    <row r="574" ht="12.75" customHeight="1" x14ac:dyDescent="0.3"/>
    <row r="575" ht="12.75" customHeight="1" x14ac:dyDescent="0.3"/>
    <row r="576" ht="12.75" customHeight="1" x14ac:dyDescent="0.3"/>
    <row r="577" ht="12.75" customHeight="1" x14ac:dyDescent="0.3"/>
    <row r="578" ht="12.75" customHeight="1" x14ac:dyDescent="0.3"/>
    <row r="579" ht="12.75" customHeight="1" x14ac:dyDescent="0.3"/>
    <row r="580" ht="12.75" customHeight="1" x14ac:dyDescent="0.3"/>
    <row r="581" ht="12.75" customHeight="1" x14ac:dyDescent="0.3"/>
    <row r="582" ht="12.75" customHeight="1" x14ac:dyDescent="0.3"/>
    <row r="583" ht="12.75" customHeight="1" x14ac:dyDescent="0.3"/>
    <row r="584" ht="12.75" customHeight="1" x14ac:dyDescent="0.3"/>
    <row r="585" ht="12.75" customHeight="1" x14ac:dyDescent="0.3"/>
    <row r="586" ht="12.75" customHeight="1" x14ac:dyDescent="0.3"/>
    <row r="587" ht="12.75" customHeight="1" x14ac:dyDescent="0.3"/>
    <row r="588" ht="12.75" customHeight="1" x14ac:dyDescent="0.3"/>
    <row r="589" ht="12.75" customHeight="1" x14ac:dyDescent="0.3"/>
    <row r="590" ht="12.75" customHeight="1" x14ac:dyDescent="0.3"/>
    <row r="591" ht="12.75" customHeight="1" x14ac:dyDescent="0.3"/>
    <row r="592" ht="12.75" customHeight="1" x14ac:dyDescent="0.3"/>
    <row r="593" ht="12.75" customHeight="1" x14ac:dyDescent="0.3"/>
    <row r="594" ht="12.75" customHeight="1" x14ac:dyDescent="0.3"/>
    <row r="595" ht="12.75" customHeight="1" x14ac:dyDescent="0.3"/>
    <row r="596" ht="12.75" customHeight="1" x14ac:dyDescent="0.3"/>
    <row r="597" ht="12.75" customHeight="1" x14ac:dyDescent="0.3"/>
    <row r="598" ht="12.75" customHeight="1" x14ac:dyDescent="0.3"/>
    <row r="599" ht="12.75" customHeight="1" x14ac:dyDescent="0.3"/>
    <row r="600" ht="12.75" customHeight="1" x14ac:dyDescent="0.3"/>
    <row r="601" ht="12.75" customHeight="1" x14ac:dyDescent="0.3"/>
    <row r="602" ht="12.75" customHeight="1" x14ac:dyDescent="0.3"/>
    <row r="603" ht="12.75" customHeight="1" x14ac:dyDescent="0.3"/>
    <row r="604" ht="12.75" customHeight="1" x14ac:dyDescent="0.3"/>
    <row r="605" ht="12.75" customHeight="1" x14ac:dyDescent="0.3"/>
    <row r="606" ht="12.75" customHeight="1" x14ac:dyDescent="0.3"/>
    <row r="607" ht="12.75" customHeight="1" x14ac:dyDescent="0.3"/>
    <row r="608" ht="12.75" customHeight="1" x14ac:dyDescent="0.3"/>
    <row r="609" ht="12.75" customHeight="1" x14ac:dyDescent="0.3"/>
    <row r="610" ht="12.75" customHeight="1" x14ac:dyDescent="0.3"/>
    <row r="611" ht="12.75" customHeight="1" x14ac:dyDescent="0.3"/>
    <row r="612" ht="12.75" customHeight="1" x14ac:dyDescent="0.3"/>
    <row r="613" ht="12.75" customHeight="1" x14ac:dyDescent="0.3"/>
    <row r="614" ht="12.75" customHeight="1" x14ac:dyDescent="0.3"/>
    <row r="615" ht="12.75" customHeight="1" x14ac:dyDescent="0.3"/>
    <row r="616" ht="12.75" customHeight="1" x14ac:dyDescent="0.3"/>
    <row r="617" ht="12.75" customHeight="1" x14ac:dyDescent="0.3"/>
    <row r="618" ht="12.75" customHeight="1" x14ac:dyDescent="0.3"/>
    <row r="619" ht="12.75" customHeight="1" x14ac:dyDescent="0.3"/>
    <row r="620" ht="12.75" customHeight="1" x14ac:dyDescent="0.3"/>
    <row r="621" ht="12.75" customHeight="1" x14ac:dyDescent="0.3"/>
    <row r="622" ht="12.75" customHeight="1" x14ac:dyDescent="0.3"/>
    <row r="623" ht="12.75" customHeight="1" x14ac:dyDescent="0.3"/>
    <row r="624" ht="12.75" customHeight="1" x14ac:dyDescent="0.3"/>
    <row r="625" ht="12.75" customHeight="1" x14ac:dyDescent="0.3"/>
    <row r="626" ht="12.75" customHeight="1" x14ac:dyDescent="0.3"/>
    <row r="627" ht="12.75" customHeight="1" x14ac:dyDescent="0.3"/>
    <row r="628" ht="12.75" customHeight="1" x14ac:dyDescent="0.3"/>
    <row r="629" ht="12.75" customHeight="1" x14ac:dyDescent="0.3"/>
    <row r="630" ht="12.75" customHeight="1" x14ac:dyDescent="0.3"/>
    <row r="631" ht="12.75" customHeight="1" x14ac:dyDescent="0.3"/>
    <row r="632" ht="12.75" customHeight="1" x14ac:dyDescent="0.3"/>
    <row r="633" ht="12.75" customHeight="1" x14ac:dyDescent="0.3"/>
    <row r="634" ht="12.75" customHeight="1" x14ac:dyDescent="0.3"/>
    <row r="635" ht="12.75" customHeight="1" x14ac:dyDescent="0.3"/>
    <row r="636" ht="12.75" customHeight="1" x14ac:dyDescent="0.3"/>
    <row r="637" ht="12.75" customHeight="1" x14ac:dyDescent="0.3"/>
    <row r="638" ht="12.75" customHeight="1" x14ac:dyDescent="0.3"/>
    <row r="639" ht="12.75" customHeight="1" x14ac:dyDescent="0.3"/>
    <row r="640" ht="12.75" customHeight="1" x14ac:dyDescent="0.3"/>
    <row r="641" ht="12.75" customHeight="1" x14ac:dyDescent="0.3"/>
    <row r="642" ht="12.75" customHeight="1" x14ac:dyDescent="0.3"/>
    <row r="643" ht="12.75" customHeight="1" x14ac:dyDescent="0.3"/>
    <row r="644" ht="12.75" customHeight="1" x14ac:dyDescent="0.3"/>
    <row r="645" ht="12.75" customHeight="1" x14ac:dyDescent="0.3"/>
    <row r="646" ht="12.75" customHeight="1" x14ac:dyDescent="0.3"/>
    <row r="647" ht="12.75" customHeight="1" x14ac:dyDescent="0.3"/>
    <row r="648" ht="12.75" customHeight="1" x14ac:dyDescent="0.3"/>
    <row r="649" ht="12.75" customHeight="1" x14ac:dyDescent="0.3"/>
    <row r="650" ht="12.75" customHeight="1" x14ac:dyDescent="0.3"/>
    <row r="651" ht="12.75" customHeight="1" x14ac:dyDescent="0.3"/>
    <row r="652" ht="12.75" customHeight="1" x14ac:dyDescent="0.3"/>
    <row r="653" ht="12.75" customHeight="1" x14ac:dyDescent="0.3"/>
    <row r="654" ht="12.75" customHeight="1" x14ac:dyDescent="0.3"/>
    <row r="655" ht="12.75" customHeight="1" x14ac:dyDescent="0.3"/>
    <row r="656" ht="12.75" customHeight="1" x14ac:dyDescent="0.3"/>
    <row r="657" ht="12.75" customHeight="1" x14ac:dyDescent="0.3"/>
    <row r="658" ht="12.75" customHeight="1" x14ac:dyDescent="0.3"/>
    <row r="659" ht="12.75" customHeight="1" x14ac:dyDescent="0.3"/>
    <row r="660" ht="12.75" customHeight="1" x14ac:dyDescent="0.3"/>
    <row r="661" ht="12.75" customHeight="1" x14ac:dyDescent="0.3"/>
    <row r="662" ht="12.75" customHeight="1" x14ac:dyDescent="0.3"/>
    <row r="663" ht="12.75" customHeight="1" x14ac:dyDescent="0.3"/>
    <row r="664" ht="12.75" customHeight="1" x14ac:dyDescent="0.3"/>
    <row r="665" ht="12.75" customHeight="1" x14ac:dyDescent="0.3"/>
    <row r="666" ht="12.75" customHeight="1" x14ac:dyDescent="0.3"/>
    <row r="667" ht="12.75" customHeight="1" x14ac:dyDescent="0.3"/>
    <row r="668" ht="12.75" customHeight="1" x14ac:dyDescent="0.3"/>
    <row r="669" ht="12.75" customHeight="1" x14ac:dyDescent="0.3"/>
    <row r="670" ht="12.75" customHeight="1" x14ac:dyDescent="0.3"/>
    <row r="671" ht="12.75" customHeight="1" x14ac:dyDescent="0.3"/>
    <row r="672" ht="12.75" customHeight="1" x14ac:dyDescent="0.3"/>
    <row r="673" ht="12.75" customHeight="1" x14ac:dyDescent="0.3"/>
    <row r="674" ht="12.75" customHeight="1" x14ac:dyDescent="0.3"/>
    <row r="675" ht="12.75" customHeight="1" x14ac:dyDescent="0.3"/>
    <row r="676" ht="12.75" customHeight="1" x14ac:dyDescent="0.3"/>
    <row r="677" ht="12.75" customHeight="1" x14ac:dyDescent="0.3"/>
    <row r="678" ht="12.75" customHeight="1" x14ac:dyDescent="0.3"/>
    <row r="679" ht="12.75" customHeight="1" x14ac:dyDescent="0.3"/>
    <row r="680" ht="12.75" customHeight="1" x14ac:dyDescent="0.3"/>
    <row r="681" ht="12.75" customHeight="1" x14ac:dyDescent="0.3"/>
    <row r="682" ht="12.75" customHeight="1" x14ac:dyDescent="0.3"/>
    <row r="683" ht="12.75" customHeight="1" x14ac:dyDescent="0.3"/>
    <row r="684" ht="12.75" customHeight="1" x14ac:dyDescent="0.3"/>
    <row r="685" ht="12.75" customHeight="1" x14ac:dyDescent="0.3"/>
    <row r="686" ht="12.75" customHeight="1" x14ac:dyDescent="0.3"/>
    <row r="687" ht="12.75" customHeight="1" x14ac:dyDescent="0.3"/>
    <row r="688" ht="12.75" customHeight="1" x14ac:dyDescent="0.3"/>
    <row r="689" ht="12.75" customHeight="1" x14ac:dyDescent="0.3"/>
    <row r="690" ht="12.75" customHeight="1" x14ac:dyDescent="0.3"/>
    <row r="691" ht="12.75" customHeight="1" x14ac:dyDescent="0.3"/>
    <row r="692" ht="12.75" customHeight="1" x14ac:dyDescent="0.3"/>
    <row r="693" ht="12.75" customHeight="1" x14ac:dyDescent="0.3"/>
    <row r="694" ht="12.75" customHeight="1" x14ac:dyDescent="0.3"/>
    <row r="695" ht="12.75" customHeight="1" x14ac:dyDescent="0.3"/>
    <row r="696" ht="12.75" customHeight="1" x14ac:dyDescent="0.3"/>
    <row r="697" ht="12.75" customHeight="1" x14ac:dyDescent="0.3"/>
    <row r="698" ht="12.75" customHeight="1" x14ac:dyDescent="0.3"/>
    <row r="699" ht="12.75" customHeight="1" x14ac:dyDescent="0.3"/>
    <row r="700" ht="12.75" customHeight="1" x14ac:dyDescent="0.3"/>
    <row r="701" ht="12.75" customHeight="1" x14ac:dyDescent="0.3"/>
    <row r="702" ht="12.75" customHeight="1" x14ac:dyDescent="0.3"/>
    <row r="703" ht="12.75" customHeight="1" x14ac:dyDescent="0.3"/>
    <row r="704" ht="12.75" customHeight="1" x14ac:dyDescent="0.3"/>
    <row r="705" ht="12.75" customHeight="1" x14ac:dyDescent="0.3"/>
    <row r="706" ht="12.75" customHeight="1" x14ac:dyDescent="0.3"/>
    <row r="707" ht="12.75" customHeight="1" x14ac:dyDescent="0.3"/>
    <row r="708" ht="12.75" customHeight="1" x14ac:dyDescent="0.3"/>
    <row r="709" ht="12.75" customHeight="1" x14ac:dyDescent="0.3"/>
    <row r="710" ht="12.75" customHeight="1" x14ac:dyDescent="0.3"/>
    <row r="711" ht="12.75" customHeight="1" x14ac:dyDescent="0.3"/>
    <row r="712" ht="12.75" customHeight="1" x14ac:dyDescent="0.3"/>
    <row r="713" ht="12.75" customHeight="1" x14ac:dyDescent="0.3"/>
    <row r="714" ht="12.75" customHeight="1" x14ac:dyDescent="0.3"/>
    <row r="715" ht="12.75" customHeight="1" x14ac:dyDescent="0.3"/>
    <row r="716" ht="12.75" customHeight="1" x14ac:dyDescent="0.3"/>
    <row r="717" ht="12.75" customHeight="1" x14ac:dyDescent="0.3"/>
    <row r="718" ht="12.75" customHeight="1" x14ac:dyDescent="0.3"/>
    <row r="719" ht="12.75" customHeight="1" x14ac:dyDescent="0.3"/>
    <row r="720" ht="12.75" customHeight="1" x14ac:dyDescent="0.3"/>
    <row r="721" ht="12.75" customHeight="1" x14ac:dyDescent="0.3"/>
    <row r="722" ht="12.75" customHeight="1" x14ac:dyDescent="0.3"/>
    <row r="723" ht="12.75" customHeight="1" x14ac:dyDescent="0.3"/>
    <row r="724" ht="12.75" customHeight="1" x14ac:dyDescent="0.3"/>
    <row r="725" ht="12.75" customHeight="1" x14ac:dyDescent="0.3"/>
    <row r="726" ht="12.75" customHeight="1" x14ac:dyDescent="0.3"/>
    <row r="727" ht="12.75" customHeight="1" x14ac:dyDescent="0.3"/>
    <row r="728" ht="12.75" customHeight="1" x14ac:dyDescent="0.3"/>
    <row r="729" ht="12.75" customHeight="1" x14ac:dyDescent="0.3"/>
    <row r="730" ht="12.75" customHeight="1" x14ac:dyDescent="0.3"/>
    <row r="731" ht="12.75" customHeight="1" x14ac:dyDescent="0.3"/>
    <row r="732" ht="12.75" customHeight="1" x14ac:dyDescent="0.3"/>
    <row r="733" ht="12.75" customHeight="1" x14ac:dyDescent="0.3"/>
    <row r="734" ht="12.75" customHeight="1" x14ac:dyDescent="0.3"/>
    <row r="735" ht="12.75" customHeight="1" x14ac:dyDescent="0.3"/>
    <row r="736" ht="12.75" customHeight="1" x14ac:dyDescent="0.3"/>
    <row r="737" ht="12.75" customHeight="1" x14ac:dyDescent="0.3"/>
    <row r="738" ht="12.75" customHeight="1" x14ac:dyDescent="0.3"/>
    <row r="739" ht="12.75" customHeight="1" x14ac:dyDescent="0.3"/>
    <row r="740" ht="12.75" customHeight="1" x14ac:dyDescent="0.3"/>
    <row r="741" ht="12.75" customHeight="1" x14ac:dyDescent="0.3"/>
    <row r="742" ht="12.75" customHeight="1" x14ac:dyDescent="0.3"/>
    <row r="743" ht="12.75" customHeight="1" x14ac:dyDescent="0.3"/>
    <row r="744" ht="12.75" customHeight="1" x14ac:dyDescent="0.3"/>
    <row r="745" ht="12.75" customHeight="1" x14ac:dyDescent="0.3"/>
    <row r="746" ht="12.75" customHeight="1" x14ac:dyDescent="0.3"/>
    <row r="747" ht="12.75" customHeight="1" x14ac:dyDescent="0.3"/>
    <row r="748" ht="12.75" customHeight="1" x14ac:dyDescent="0.3"/>
    <row r="749" ht="12.75" customHeight="1" x14ac:dyDescent="0.3"/>
    <row r="750" ht="12.75" customHeight="1" x14ac:dyDescent="0.3"/>
    <row r="751" ht="12.75" customHeight="1" x14ac:dyDescent="0.3"/>
    <row r="752" ht="12.75" customHeight="1" x14ac:dyDescent="0.3"/>
    <row r="753" ht="12.75" customHeight="1" x14ac:dyDescent="0.3"/>
    <row r="754" ht="12.75" customHeight="1" x14ac:dyDescent="0.3"/>
    <row r="755" ht="12.75" customHeight="1" x14ac:dyDescent="0.3"/>
    <row r="756" ht="12.75" customHeight="1" x14ac:dyDescent="0.3"/>
    <row r="757" ht="12.75" customHeight="1" x14ac:dyDescent="0.3"/>
    <row r="758" ht="12.75" customHeight="1" x14ac:dyDescent="0.3"/>
    <row r="759" ht="12.75" customHeight="1" x14ac:dyDescent="0.3"/>
    <row r="760" ht="12.75" customHeight="1" x14ac:dyDescent="0.3"/>
    <row r="761" ht="12.75" customHeight="1" x14ac:dyDescent="0.3"/>
    <row r="762" ht="12.75" customHeight="1" x14ac:dyDescent="0.3"/>
    <row r="763" ht="12.75" customHeight="1" x14ac:dyDescent="0.3"/>
    <row r="764" ht="12.75" customHeight="1" x14ac:dyDescent="0.3"/>
    <row r="765" ht="12.75" customHeight="1" x14ac:dyDescent="0.3"/>
    <row r="766" ht="12.75" customHeight="1" x14ac:dyDescent="0.3"/>
    <row r="767" ht="12.75" customHeight="1" x14ac:dyDescent="0.3"/>
    <row r="768" ht="12.75" customHeight="1" x14ac:dyDescent="0.3"/>
    <row r="769" ht="12.75" customHeight="1" x14ac:dyDescent="0.3"/>
    <row r="770" ht="12.75" customHeight="1" x14ac:dyDescent="0.3"/>
    <row r="771" ht="12.75" customHeight="1" x14ac:dyDescent="0.3"/>
    <row r="772" ht="12.75" customHeight="1" x14ac:dyDescent="0.3"/>
    <row r="773" ht="12.75" customHeight="1" x14ac:dyDescent="0.3"/>
    <row r="774" ht="12.75" customHeight="1" x14ac:dyDescent="0.3"/>
    <row r="775" ht="12.75" customHeight="1" x14ac:dyDescent="0.3"/>
    <row r="776" ht="12.75" customHeight="1" x14ac:dyDescent="0.3"/>
    <row r="777" ht="12.75" customHeight="1" x14ac:dyDescent="0.3"/>
    <row r="778" ht="12.75" customHeight="1" x14ac:dyDescent="0.3"/>
    <row r="779" ht="12.75" customHeight="1" x14ac:dyDescent="0.3"/>
    <row r="780" ht="12.75" customHeight="1" x14ac:dyDescent="0.3"/>
    <row r="781" ht="12.75" customHeight="1" x14ac:dyDescent="0.3"/>
    <row r="782" ht="12.75" customHeight="1" x14ac:dyDescent="0.3"/>
    <row r="783" ht="12.75" customHeight="1" x14ac:dyDescent="0.3"/>
    <row r="784" ht="12.75" customHeight="1" x14ac:dyDescent="0.3"/>
    <row r="785" ht="12.75" customHeight="1" x14ac:dyDescent="0.3"/>
    <row r="786" ht="12.75" customHeight="1" x14ac:dyDescent="0.3"/>
    <row r="787" ht="12.75" customHeight="1" x14ac:dyDescent="0.3"/>
    <row r="788" ht="12.75" customHeight="1" x14ac:dyDescent="0.3"/>
    <row r="789" ht="12.75" customHeight="1" x14ac:dyDescent="0.3"/>
    <row r="790" ht="12.75" customHeight="1" x14ac:dyDescent="0.3"/>
    <row r="791" ht="12.75" customHeight="1" x14ac:dyDescent="0.3"/>
    <row r="792" ht="12.75" customHeight="1" x14ac:dyDescent="0.3"/>
    <row r="793" ht="12.75" customHeight="1" x14ac:dyDescent="0.3"/>
    <row r="794" ht="12.75" customHeight="1" x14ac:dyDescent="0.3"/>
    <row r="795" ht="12.75" customHeight="1" x14ac:dyDescent="0.3"/>
    <row r="796" ht="12.75" customHeight="1" x14ac:dyDescent="0.3"/>
    <row r="797" ht="12.75" customHeight="1" x14ac:dyDescent="0.3"/>
    <row r="798" ht="12.75" customHeight="1" x14ac:dyDescent="0.3"/>
    <row r="799" ht="12.75" customHeight="1" x14ac:dyDescent="0.3"/>
    <row r="800" ht="12.75" customHeight="1" x14ac:dyDescent="0.3"/>
    <row r="801" ht="12.75" customHeight="1" x14ac:dyDescent="0.3"/>
    <row r="802" ht="12.75" customHeight="1" x14ac:dyDescent="0.3"/>
    <row r="803" ht="12.75" customHeight="1" x14ac:dyDescent="0.3"/>
    <row r="804" ht="12.75" customHeight="1" x14ac:dyDescent="0.3"/>
    <row r="805" ht="12.75" customHeight="1" x14ac:dyDescent="0.3"/>
    <row r="806" ht="12.75" customHeight="1" x14ac:dyDescent="0.3"/>
    <row r="807" ht="12.75" customHeight="1" x14ac:dyDescent="0.3"/>
    <row r="808" ht="12.75" customHeight="1" x14ac:dyDescent="0.3"/>
    <row r="809" ht="12.75" customHeight="1" x14ac:dyDescent="0.3"/>
    <row r="810" ht="12.75" customHeight="1" x14ac:dyDescent="0.3"/>
    <row r="811" ht="12.75" customHeight="1" x14ac:dyDescent="0.3"/>
    <row r="812" ht="12.75" customHeight="1" x14ac:dyDescent="0.3"/>
    <row r="813" ht="12.75" customHeight="1" x14ac:dyDescent="0.3"/>
    <row r="814" ht="12.75" customHeight="1" x14ac:dyDescent="0.3"/>
    <row r="815" ht="12.75" customHeight="1" x14ac:dyDescent="0.3"/>
    <row r="816" ht="12.75" customHeight="1" x14ac:dyDescent="0.3"/>
    <row r="817" ht="12.75" customHeight="1" x14ac:dyDescent="0.3"/>
    <row r="818" ht="12.75" customHeight="1" x14ac:dyDescent="0.3"/>
    <row r="819" ht="12.75" customHeight="1" x14ac:dyDescent="0.3"/>
    <row r="820" ht="12.75" customHeight="1" x14ac:dyDescent="0.3"/>
    <row r="821" ht="12.75" customHeight="1" x14ac:dyDescent="0.3"/>
    <row r="822" ht="12.75" customHeight="1" x14ac:dyDescent="0.3"/>
    <row r="823" ht="12.75" customHeight="1" x14ac:dyDescent="0.3"/>
    <row r="824" ht="12.75" customHeight="1" x14ac:dyDescent="0.3"/>
    <row r="825" ht="12.75" customHeight="1" x14ac:dyDescent="0.3"/>
    <row r="826" ht="12.75" customHeight="1" x14ac:dyDescent="0.3"/>
    <row r="827" ht="12.75" customHeight="1" x14ac:dyDescent="0.3"/>
    <row r="828" ht="12.75" customHeight="1" x14ac:dyDescent="0.3"/>
    <row r="829" ht="12.75" customHeight="1" x14ac:dyDescent="0.3"/>
    <row r="830" ht="12.75" customHeight="1" x14ac:dyDescent="0.3"/>
    <row r="831" ht="12.75" customHeight="1" x14ac:dyDescent="0.3"/>
    <row r="832" ht="12.75" customHeight="1" x14ac:dyDescent="0.3"/>
    <row r="833" ht="12.75" customHeight="1" x14ac:dyDescent="0.3"/>
    <row r="834" ht="12.75" customHeight="1" x14ac:dyDescent="0.3"/>
    <row r="835" ht="12.75" customHeight="1" x14ac:dyDescent="0.3"/>
    <row r="836" ht="12.75" customHeight="1" x14ac:dyDescent="0.3"/>
    <row r="837" ht="12.75" customHeight="1" x14ac:dyDescent="0.3"/>
    <row r="838" ht="12.75" customHeight="1" x14ac:dyDescent="0.3"/>
    <row r="839" ht="12.75" customHeight="1" x14ac:dyDescent="0.3"/>
    <row r="840" ht="12.75" customHeight="1" x14ac:dyDescent="0.3"/>
    <row r="841" ht="12.75" customHeight="1" x14ac:dyDescent="0.3"/>
    <row r="842" ht="12.75" customHeight="1" x14ac:dyDescent="0.3"/>
    <row r="843" ht="12.75" customHeight="1" x14ac:dyDescent="0.3"/>
    <row r="844" ht="12.75" customHeight="1" x14ac:dyDescent="0.3"/>
    <row r="845" ht="12.75" customHeight="1" x14ac:dyDescent="0.3"/>
    <row r="846" ht="12.75" customHeight="1" x14ac:dyDescent="0.3"/>
    <row r="847" ht="12.75" customHeight="1" x14ac:dyDescent="0.3"/>
    <row r="848" ht="12.75" customHeight="1" x14ac:dyDescent="0.3"/>
    <row r="849" ht="12.75" customHeight="1" x14ac:dyDescent="0.3"/>
    <row r="850" ht="12.75" customHeight="1" x14ac:dyDescent="0.3"/>
    <row r="851" ht="12.75" customHeight="1" x14ac:dyDescent="0.3"/>
    <row r="852" ht="12.75" customHeight="1" x14ac:dyDescent="0.3"/>
    <row r="853" ht="12.75" customHeight="1" x14ac:dyDescent="0.3"/>
    <row r="854" ht="12.75" customHeight="1" x14ac:dyDescent="0.3"/>
    <row r="855" ht="12.75" customHeight="1" x14ac:dyDescent="0.3"/>
    <row r="856" ht="12.75" customHeight="1" x14ac:dyDescent="0.3"/>
    <row r="857" ht="12.75" customHeight="1" x14ac:dyDescent="0.3"/>
    <row r="858" ht="12.75" customHeight="1" x14ac:dyDescent="0.3"/>
    <row r="859" ht="12.75" customHeight="1" x14ac:dyDescent="0.3"/>
    <row r="860" ht="12.75" customHeight="1" x14ac:dyDescent="0.3"/>
    <row r="861" ht="12.75" customHeight="1" x14ac:dyDescent="0.3"/>
    <row r="862" ht="12.75" customHeight="1" x14ac:dyDescent="0.3"/>
    <row r="863" ht="12.75" customHeight="1" x14ac:dyDescent="0.3"/>
    <row r="864" ht="12.75" customHeight="1" x14ac:dyDescent="0.3"/>
    <row r="865" ht="12.75" customHeight="1" x14ac:dyDescent="0.3"/>
    <row r="866" ht="12.75" customHeight="1" x14ac:dyDescent="0.3"/>
    <row r="867" ht="12.75" customHeight="1" x14ac:dyDescent="0.3"/>
    <row r="868" ht="12.75" customHeight="1" x14ac:dyDescent="0.3"/>
    <row r="869" ht="12.75" customHeight="1" x14ac:dyDescent="0.3"/>
    <row r="870" ht="12.75" customHeight="1" x14ac:dyDescent="0.3"/>
    <row r="871" ht="12.75" customHeight="1" x14ac:dyDescent="0.3"/>
    <row r="872" ht="12.75" customHeight="1" x14ac:dyDescent="0.3"/>
    <row r="873" ht="12.75" customHeight="1" x14ac:dyDescent="0.3"/>
    <row r="874" ht="12.75" customHeight="1" x14ac:dyDescent="0.3"/>
    <row r="875" ht="12.75" customHeight="1" x14ac:dyDescent="0.3"/>
    <row r="876" ht="12.75" customHeight="1" x14ac:dyDescent="0.3"/>
    <row r="877" ht="12.75" customHeight="1" x14ac:dyDescent="0.3"/>
    <row r="878" ht="12.75" customHeight="1" x14ac:dyDescent="0.3"/>
    <row r="879" ht="12.75" customHeight="1" x14ac:dyDescent="0.3"/>
    <row r="880" ht="12.75" customHeight="1" x14ac:dyDescent="0.3"/>
    <row r="881" ht="12.75" customHeight="1" x14ac:dyDescent="0.3"/>
    <row r="882" ht="12.75" customHeight="1" x14ac:dyDescent="0.3"/>
    <row r="883" ht="12.75" customHeight="1" x14ac:dyDescent="0.3"/>
    <row r="884" ht="12.75" customHeight="1" x14ac:dyDescent="0.3"/>
    <row r="885" ht="12.75" customHeight="1" x14ac:dyDescent="0.3"/>
    <row r="886" ht="12.75" customHeight="1" x14ac:dyDescent="0.3"/>
    <row r="887" ht="12.75" customHeight="1" x14ac:dyDescent="0.3"/>
    <row r="888" ht="12.75" customHeight="1" x14ac:dyDescent="0.3"/>
    <row r="889" ht="12.75" customHeight="1" x14ac:dyDescent="0.3"/>
    <row r="890" ht="12.75" customHeight="1" x14ac:dyDescent="0.3"/>
    <row r="891" ht="12.75" customHeight="1" x14ac:dyDescent="0.3"/>
    <row r="892" ht="12.75" customHeight="1" x14ac:dyDescent="0.3"/>
    <row r="893" ht="12.75" customHeight="1" x14ac:dyDescent="0.3"/>
    <row r="894" ht="12.75" customHeight="1" x14ac:dyDescent="0.3"/>
    <row r="895" ht="12.75" customHeight="1" x14ac:dyDescent="0.3"/>
    <row r="896" ht="12.75" customHeight="1" x14ac:dyDescent="0.3"/>
    <row r="897" ht="12.75" customHeight="1" x14ac:dyDescent="0.3"/>
    <row r="898" ht="12.75" customHeight="1" x14ac:dyDescent="0.3"/>
    <row r="899" ht="12.75" customHeight="1" x14ac:dyDescent="0.3"/>
    <row r="900" ht="12.75" customHeight="1" x14ac:dyDescent="0.3"/>
    <row r="901" ht="12.75" customHeight="1" x14ac:dyDescent="0.3"/>
    <row r="902" ht="12.75" customHeight="1" x14ac:dyDescent="0.3"/>
    <row r="903" ht="12.75" customHeight="1" x14ac:dyDescent="0.3"/>
    <row r="904" ht="12.75" customHeight="1" x14ac:dyDescent="0.3"/>
    <row r="905" ht="12.75" customHeight="1" x14ac:dyDescent="0.3"/>
    <row r="906" ht="12.75" customHeight="1" x14ac:dyDescent="0.3"/>
    <row r="907" ht="12.75" customHeight="1" x14ac:dyDescent="0.3"/>
    <row r="908" ht="12.75" customHeight="1" x14ac:dyDescent="0.3"/>
    <row r="909" ht="12.75" customHeight="1" x14ac:dyDescent="0.3"/>
    <row r="910" ht="12.75" customHeight="1" x14ac:dyDescent="0.3"/>
    <row r="911" ht="12.75" customHeight="1" x14ac:dyDescent="0.3"/>
    <row r="912" ht="12.75" customHeight="1" x14ac:dyDescent="0.3"/>
    <row r="913" ht="12.75" customHeight="1" x14ac:dyDescent="0.3"/>
    <row r="914" ht="12.75" customHeight="1" x14ac:dyDescent="0.3"/>
    <row r="915" ht="12.75" customHeight="1" x14ac:dyDescent="0.3"/>
    <row r="916" ht="12.75" customHeight="1" x14ac:dyDescent="0.3"/>
    <row r="917" ht="12.75" customHeight="1" x14ac:dyDescent="0.3"/>
    <row r="918" ht="12.75" customHeight="1" x14ac:dyDescent="0.3"/>
    <row r="919" ht="12.75" customHeight="1" x14ac:dyDescent="0.3"/>
    <row r="920" ht="12.75" customHeight="1" x14ac:dyDescent="0.3"/>
    <row r="921" ht="12.75" customHeight="1" x14ac:dyDescent="0.3"/>
    <row r="922" ht="12.75" customHeight="1" x14ac:dyDescent="0.3"/>
    <row r="923" ht="12.75" customHeight="1" x14ac:dyDescent="0.3"/>
    <row r="924" ht="12.75" customHeight="1" x14ac:dyDescent="0.3"/>
    <row r="925" ht="12.75" customHeight="1" x14ac:dyDescent="0.3"/>
    <row r="926" ht="12.75" customHeight="1" x14ac:dyDescent="0.3"/>
    <row r="927" ht="12.75" customHeight="1" x14ac:dyDescent="0.3"/>
    <row r="928" ht="12.75" customHeight="1" x14ac:dyDescent="0.3"/>
    <row r="929" ht="12.75" customHeight="1" x14ac:dyDescent="0.3"/>
    <row r="930" ht="12.75" customHeight="1" x14ac:dyDescent="0.3"/>
    <row r="931" ht="12.75" customHeight="1" x14ac:dyDescent="0.3"/>
    <row r="932" ht="12.75" customHeight="1" x14ac:dyDescent="0.3"/>
    <row r="933" ht="12.75" customHeight="1" x14ac:dyDescent="0.3"/>
    <row r="934" ht="12.75" customHeight="1" x14ac:dyDescent="0.3"/>
    <row r="935" ht="12.75" customHeight="1" x14ac:dyDescent="0.3"/>
    <row r="936" ht="12.75" customHeight="1" x14ac:dyDescent="0.3"/>
    <row r="937" ht="12.75" customHeight="1" x14ac:dyDescent="0.3"/>
    <row r="938" ht="12.75" customHeight="1" x14ac:dyDescent="0.3"/>
    <row r="939" ht="12.75" customHeight="1" x14ac:dyDescent="0.3"/>
    <row r="940" ht="12.75" customHeight="1" x14ac:dyDescent="0.3"/>
    <row r="941" ht="12.75" customHeight="1" x14ac:dyDescent="0.3"/>
    <row r="942" ht="12.75" customHeight="1" x14ac:dyDescent="0.3"/>
    <row r="943" ht="12.75" customHeight="1" x14ac:dyDescent="0.3"/>
    <row r="944" ht="12.75" customHeight="1" x14ac:dyDescent="0.3"/>
    <row r="945" ht="12.75" customHeight="1" x14ac:dyDescent="0.3"/>
    <row r="946" ht="12.75" customHeight="1" x14ac:dyDescent="0.3"/>
    <row r="947" ht="12.75" customHeight="1" x14ac:dyDescent="0.3"/>
    <row r="948" ht="12.75" customHeight="1" x14ac:dyDescent="0.3"/>
    <row r="949" ht="12.75" customHeight="1" x14ac:dyDescent="0.3"/>
    <row r="950" ht="12.75" customHeight="1" x14ac:dyDescent="0.3"/>
    <row r="951" ht="12.75" customHeight="1" x14ac:dyDescent="0.3"/>
    <row r="952" ht="12.75" customHeight="1" x14ac:dyDescent="0.3"/>
    <row r="953" ht="12.75" customHeight="1" x14ac:dyDescent="0.3"/>
    <row r="954" ht="12.75" customHeight="1" x14ac:dyDescent="0.3"/>
    <row r="955" ht="12.75" customHeight="1" x14ac:dyDescent="0.3"/>
    <row r="956" ht="12.75" customHeight="1" x14ac:dyDescent="0.3"/>
    <row r="957" ht="12.75" customHeight="1" x14ac:dyDescent="0.3"/>
    <row r="958" ht="12.75" customHeight="1" x14ac:dyDescent="0.3"/>
    <row r="959" ht="12.75" customHeight="1" x14ac:dyDescent="0.3"/>
    <row r="960" ht="12.75" customHeight="1" x14ac:dyDescent="0.3"/>
    <row r="961" ht="12.75" customHeight="1" x14ac:dyDescent="0.3"/>
    <row r="962" ht="12.75" customHeight="1" x14ac:dyDescent="0.3"/>
    <row r="963" ht="12.75" customHeight="1" x14ac:dyDescent="0.3"/>
    <row r="964" ht="12.75" customHeight="1" x14ac:dyDescent="0.3"/>
    <row r="965" ht="12.75" customHeight="1" x14ac:dyDescent="0.3"/>
    <row r="966" ht="12.75" customHeight="1" x14ac:dyDescent="0.3"/>
    <row r="967" ht="12.75" customHeight="1" x14ac:dyDescent="0.3"/>
    <row r="968" ht="12.75" customHeight="1" x14ac:dyDescent="0.3"/>
    <row r="969" ht="12.75" customHeight="1" x14ac:dyDescent="0.3"/>
    <row r="970" ht="12.75" customHeight="1" x14ac:dyDescent="0.3"/>
    <row r="971" ht="12.75" customHeight="1" x14ac:dyDescent="0.3"/>
    <row r="972" ht="12.75" customHeight="1" x14ac:dyDescent="0.3"/>
    <row r="973" ht="12.75" customHeight="1" x14ac:dyDescent="0.3"/>
    <row r="974" ht="12.75" customHeight="1" x14ac:dyDescent="0.3"/>
    <row r="975" ht="12.75" customHeight="1" x14ac:dyDescent="0.3"/>
    <row r="976" ht="12.75" customHeight="1" x14ac:dyDescent="0.3"/>
    <row r="977" ht="12.75" customHeight="1" x14ac:dyDescent="0.3"/>
    <row r="978" ht="12.75" customHeight="1" x14ac:dyDescent="0.3"/>
    <row r="979" ht="12.75" customHeight="1" x14ac:dyDescent="0.3"/>
    <row r="980" ht="12.75" customHeight="1" x14ac:dyDescent="0.3"/>
    <row r="981" ht="12.75" customHeight="1" x14ac:dyDescent="0.3"/>
    <row r="982" ht="12.75" customHeight="1" x14ac:dyDescent="0.3"/>
    <row r="983" ht="12.75" customHeight="1" x14ac:dyDescent="0.3"/>
    <row r="984" ht="12.75" customHeight="1" x14ac:dyDescent="0.3"/>
    <row r="985" ht="12.75" customHeight="1" x14ac:dyDescent="0.3"/>
    <row r="986" ht="12.75" customHeight="1" x14ac:dyDescent="0.3"/>
    <row r="987" ht="12.75" customHeight="1" x14ac:dyDescent="0.3"/>
    <row r="988" ht="12.75" customHeight="1" x14ac:dyDescent="0.3"/>
    <row r="989" ht="12.75" customHeight="1" x14ac:dyDescent="0.3"/>
    <row r="990" ht="12.75" customHeight="1" x14ac:dyDescent="0.3"/>
    <row r="991" ht="12.75" customHeight="1" x14ac:dyDescent="0.3"/>
    <row r="992" ht="12.75" customHeight="1" x14ac:dyDescent="0.3"/>
    <row r="993" ht="12.75" customHeight="1" x14ac:dyDescent="0.3"/>
    <row r="994" ht="12.75" customHeight="1" x14ac:dyDescent="0.3"/>
    <row r="995" ht="12.75" customHeight="1" x14ac:dyDescent="0.3"/>
    <row r="996" ht="12.75" customHeight="1" x14ac:dyDescent="0.3"/>
    <row r="997" ht="12.75" customHeight="1" x14ac:dyDescent="0.3"/>
    <row r="998" ht="12.75" customHeight="1" x14ac:dyDescent="0.3"/>
    <row r="999" ht="12.75" customHeight="1" x14ac:dyDescent="0.3"/>
    <row r="1000" ht="12.75" customHeight="1" x14ac:dyDescent="0.3"/>
  </sheetData>
  <pageMargins left="0.7" right="0.7" top="0.75" bottom="0.75" header="0" footer="0"/>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defaultColWidth="14.3984375" defaultRowHeight="15" customHeight="1" x14ac:dyDescent="0.3"/>
  <cols>
    <col min="1" max="6" width="8.69921875" customWidth="1"/>
  </cols>
  <sheetData>
    <row r="1" spans="1:1" ht="13.5" customHeight="1" x14ac:dyDescent="0.3">
      <c r="A1" s="16" t="s">
        <v>592</v>
      </c>
    </row>
    <row r="2" spans="1:1" ht="13.5" customHeight="1" x14ac:dyDescent="0.3"/>
    <row r="3" spans="1:1" ht="13.5" customHeight="1" x14ac:dyDescent="0.3"/>
    <row r="4" spans="1:1" ht="13.5" customHeight="1" x14ac:dyDescent="0.3"/>
    <row r="5" spans="1:1" ht="13.5" customHeight="1" x14ac:dyDescent="0.3"/>
    <row r="6" spans="1:1" ht="13.5" customHeight="1" x14ac:dyDescent="0.3"/>
    <row r="7" spans="1:1" ht="13.5" customHeight="1" x14ac:dyDescent="0.3"/>
    <row r="8" spans="1:1" ht="13.5" customHeight="1" x14ac:dyDescent="0.3"/>
    <row r="9" spans="1:1" ht="13.5" customHeight="1" x14ac:dyDescent="0.3"/>
    <row r="10" spans="1:1" ht="13.5" customHeight="1" x14ac:dyDescent="0.3"/>
    <row r="11" spans="1:1" ht="13.5" customHeight="1" x14ac:dyDescent="0.3"/>
    <row r="12" spans="1:1" ht="13.5" customHeight="1" x14ac:dyDescent="0.3"/>
    <row r="13" spans="1:1" ht="13.5" customHeight="1" x14ac:dyDescent="0.3"/>
    <row r="14" spans="1:1" ht="13.5" customHeight="1" x14ac:dyDescent="0.3"/>
    <row r="15" spans="1:1" ht="13.5" customHeight="1" x14ac:dyDescent="0.3"/>
    <row r="16" spans="1:1" ht="13.5" customHeight="1" x14ac:dyDescent="0.3"/>
    <row r="17" ht="13.5" customHeight="1" x14ac:dyDescent="0.3"/>
    <row r="18" ht="13.5" customHeight="1" x14ac:dyDescent="0.3"/>
    <row r="19" ht="13.5" customHeight="1" x14ac:dyDescent="0.3"/>
    <row r="20" ht="13.5" customHeight="1" x14ac:dyDescent="0.3"/>
    <row r="21" ht="13.5" customHeight="1" x14ac:dyDescent="0.3"/>
    <row r="22" ht="13.5" customHeight="1" x14ac:dyDescent="0.3"/>
    <row r="23" ht="13.5" customHeight="1" x14ac:dyDescent="0.3"/>
    <row r="24" ht="13.5" customHeight="1" x14ac:dyDescent="0.3"/>
    <row r="25" ht="13.5" customHeight="1" x14ac:dyDescent="0.3"/>
    <row r="26" ht="13.5" customHeight="1" x14ac:dyDescent="0.3"/>
    <row r="27" ht="13.5" customHeight="1" x14ac:dyDescent="0.3"/>
    <row r="28" ht="13.5" customHeight="1" x14ac:dyDescent="0.3"/>
    <row r="29" ht="13.5" customHeight="1" x14ac:dyDescent="0.3"/>
    <row r="30" ht="13.5" customHeight="1" x14ac:dyDescent="0.3"/>
    <row r="31" ht="13.5" customHeight="1" x14ac:dyDescent="0.3"/>
    <row r="32"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13.5" customHeight="1" x14ac:dyDescent="0.3"/>
    <row r="152" ht="13.5" customHeight="1" x14ac:dyDescent="0.3"/>
    <row r="153" ht="13.5" customHeight="1" x14ac:dyDescent="0.3"/>
    <row r="154" ht="13.5" customHeight="1" x14ac:dyDescent="0.3"/>
    <row r="155" ht="13.5" customHeight="1" x14ac:dyDescent="0.3"/>
    <row r="156" ht="13.5" customHeight="1" x14ac:dyDescent="0.3"/>
    <row r="157" ht="13.5" customHeight="1" x14ac:dyDescent="0.3"/>
    <row r="158" ht="13.5" customHeight="1" x14ac:dyDescent="0.3"/>
    <row r="159" ht="13.5" customHeight="1" x14ac:dyDescent="0.3"/>
    <row r="160" ht="13.5" customHeight="1" x14ac:dyDescent="0.3"/>
    <row r="161" ht="13.5" customHeight="1" x14ac:dyDescent="0.3"/>
    <row r="162" ht="13.5" customHeight="1" x14ac:dyDescent="0.3"/>
    <row r="163" ht="13.5" customHeight="1" x14ac:dyDescent="0.3"/>
    <row r="164" ht="13.5" customHeight="1" x14ac:dyDescent="0.3"/>
    <row r="165" ht="13.5" customHeight="1" x14ac:dyDescent="0.3"/>
    <row r="166" ht="13.5" customHeight="1" x14ac:dyDescent="0.3"/>
    <row r="167" ht="13.5" customHeight="1" x14ac:dyDescent="0.3"/>
    <row r="168" ht="13.5" customHeight="1" x14ac:dyDescent="0.3"/>
    <row r="169" ht="13.5" customHeight="1" x14ac:dyDescent="0.3"/>
    <row r="170" ht="13.5" customHeight="1" x14ac:dyDescent="0.3"/>
    <row r="171" ht="13.5" customHeight="1" x14ac:dyDescent="0.3"/>
    <row r="172" ht="13.5" customHeight="1" x14ac:dyDescent="0.3"/>
    <row r="173" ht="13.5" customHeight="1" x14ac:dyDescent="0.3"/>
    <row r="174" ht="13.5" customHeight="1" x14ac:dyDescent="0.3"/>
    <row r="175" ht="13.5" customHeight="1" x14ac:dyDescent="0.3"/>
    <row r="176" ht="13.5" customHeight="1" x14ac:dyDescent="0.3"/>
    <row r="177" ht="13.5" customHeight="1" x14ac:dyDescent="0.3"/>
    <row r="178" ht="13.5" customHeight="1" x14ac:dyDescent="0.3"/>
    <row r="179" ht="13.5" customHeight="1" x14ac:dyDescent="0.3"/>
    <row r="180" ht="13.5" customHeight="1" x14ac:dyDescent="0.3"/>
    <row r="181" ht="13.5" customHeight="1" x14ac:dyDescent="0.3"/>
    <row r="182" ht="13.5" customHeight="1" x14ac:dyDescent="0.3"/>
    <row r="183" ht="13.5" customHeight="1" x14ac:dyDescent="0.3"/>
    <row r="184" ht="13.5" customHeight="1" x14ac:dyDescent="0.3"/>
    <row r="185" ht="13.5" customHeight="1" x14ac:dyDescent="0.3"/>
    <row r="186" ht="13.5" customHeight="1" x14ac:dyDescent="0.3"/>
    <row r="187" ht="13.5" customHeight="1" x14ac:dyDescent="0.3"/>
    <row r="188" ht="13.5" customHeight="1" x14ac:dyDescent="0.3"/>
    <row r="189" ht="13.5" customHeight="1" x14ac:dyDescent="0.3"/>
    <row r="190" ht="13.5" customHeight="1" x14ac:dyDescent="0.3"/>
    <row r="191" ht="13.5" customHeight="1" x14ac:dyDescent="0.3"/>
    <row r="192" ht="13.5" customHeight="1" x14ac:dyDescent="0.3"/>
    <row r="193" ht="13.5" customHeight="1" x14ac:dyDescent="0.3"/>
    <row r="194" ht="13.5" customHeight="1" x14ac:dyDescent="0.3"/>
    <row r="195" ht="13.5" customHeight="1" x14ac:dyDescent="0.3"/>
    <row r="196" ht="13.5" customHeight="1" x14ac:dyDescent="0.3"/>
    <row r="197" ht="13.5" customHeight="1" x14ac:dyDescent="0.3"/>
    <row r="198" ht="13.5" customHeight="1" x14ac:dyDescent="0.3"/>
    <row r="199" ht="13.5" customHeight="1" x14ac:dyDescent="0.3"/>
    <row r="200" ht="13.5" customHeight="1" x14ac:dyDescent="0.3"/>
    <row r="201" ht="13.5" customHeight="1" x14ac:dyDescent="0.3"/>
    <row r="202" ht="13.5" customHeight="1" x14ac:dyDescent="0.3"/>
    <row r="203" ht="13.5" customHeight="1" x14ac:dyDescent="0.3"/>
    <row r="204" ht="13.5" customHeight="1" x14ac:dyDescent="0.3"/>
    <row r="205" ht="13.5" customHeight="1" x14ac:dyDescent="0.3"/>
    <row r="206" ht="13.5" customHeight="1" x14ac:dyDescent="0.3"/>
    <row r="207" ht="13.5" customHeight="1" x14ac:dyDescent="0.3"/>
    <row r="208" ht="13.5" customHeight="1" x14ac:dyDescent="0.3"/>
    <row r="209" ht="13.5" customHeight="1" x14ac:dyDescent="0.3"/>
    <row r="210" ht="13.5" customHeight="1" x14ac:dyDescent="0.3"/>
    <row r="211" ht="13.5" customHeight="1" x14ac:dyDescent="0.3"/>
    <row r="212" ht="13.5" customHeight="1" x14ac:dyDescent="0.3"/>
    <row r="213" ht="13.5" customHeight="1" x14ac:dyDescent="0.3"/>
    <row r="214" ht="13.5" customHeight="1" x14ac:dyDescent="0.3"/>
    <row r="215" ht="13.5" customHeight="1" x14ac:dyDescent="0.3"/>
    <row r="216" ht="13.5" customHeight="1" x14ac:dyDescent="0.3"/>
    <row r="217" ht="13.5" customHeight="1" x14ac:dyDescent="0.3"/>
    <row r="218" ht="13.5" customHeight="1" x14ac:dyDescent="0.3"/>
    <row r="219" ht="13.5" customHeight="1" x14ac:dyDescent="0.3"/>
    <row r="220" ht="13.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69"/>
  <sheetViews>
    <sheetView tabSelected="1" workbookViewId="0"/>
  </sheetViews>
  <sheetFormatPr defaultColWidth="14.3984375" defaultRowHeight="15" customHeight="1" x14ac:dyDescent="0.3"/>
  <cols>
    <col min="1" max="1" width="13.09765625" customWidth="1"/>
    <col min="2" max="2" width="41.3984375" customWidth="1"/>
    <col min="3" max="3" width="12.59765625" customWidth="1"/>
    <col min="4" max="4" width="15.296875" customWidth="1"/>
    <col min="6" max="6" width="13.3984375" customWidth="1"/>
    <col min="7" max="7" width="14.09765625" customWidth="1"/>
    <col min="8" max="8" width="15.09765625" customWidth="1"/>
    <col min="9" max="9" width="15.8984375" customWidth="1"/>
    <col min="10" max="10" width="14.69921875" customWidth="1"/>
    <col min="11" max="11" width="16.09765625" customWidth="1"/>
    <col min="12" max="12" width="13.8984375" customWidth="1"/>
    <col min="13" max="13" width="13.59765625" customWidth="1"/>
    <col min="14" max="14" width="15.59765625" customWidth="1"/>
    <col min="15" max="15" width="13.8984375" customWidth="1"/>
    <col min="16" max="16" width="15.296875" customWidth="1"/>
    <col min="17" max="17" width="17.09765625" customWidth="1"/>
    <col min="18" max="18" width="20.59765625" customWidth="1"/>
    <col min="19" max="26" width="8.69921875" customWidth="1"/>
  </cols>
  <sheetData>
    <row r="1" spans="1:26" ht="12.75" customHeight="1" x14ac:dyDescent="0.3">
      <c r="A1" s="30"/>
      <c r="B1" s="30"/>
      <c r="C1" s="30"/>
      <c r="D1" s="30"/>
      <c r="E1" s="30"/>
      <c r="F1" s="30"/>
      <c r="G1" s="30"/>
      <c r="H1" s="30"/>
      <c r="I1" s="30"/>
      <c r="J1" s="30"/>
      <c r="K1" s="30"/>
      <c r="L1" s="30"/>
      <c r="M1" s="30"/>
      <c r="N1" s="30"/>
      <c r="O1" s="30"/>
      <c r="P1" s="30"/>
      <c r="Q1" s="30"/>
      <c r="R1" s="30"/>
      <c r="S1" s="30"/>
      <c r="T1" s="30"/>
      <c r="U1" s="30"/>
      <c r="V1" s="30"/>
      <c r="W1" s="30"/>
      <c r="X1" s="30"/>
      <c r="Y1" s="30"/>
      <c r="Z1" s="30"/>
    </row>
    <row r="2" spans="1:26" ht="18" customHeight="1" x14ac:dyDescent="0.35">
      <c r="A2" s="30"/>
      <c r="B2" s="31" t="s">
        <v>52</v>
      </c>
      <c r="C2" s="32"/>
      <c r="D2" s="33" t="s">
        <v>53</v>
      </c>
      <c r="E2" s="30"/>
      <c r="F2" s="30"/>
      <c r="G2" s="30"/>
      <c r="H2" s="30"/>
      <c r="I2" s="30"/>
      <c r="J2" s="30"/>
      <c r="K2" s="34" t="s">
        <v>54</v>
      </c>
      <c r="L2" s="30"/>
      <c r="M2" s="30"/>
      <c r="N2" s="30"/>
      <c r="O2" s="30"/>
      <c r="P2" s="30"/>
      <c r="Q2" s="30"/>
      <c r="R2" s="30"/>
      <c r="S2" s="30"/>
      <c r="T2" s="30"/>
      <c r="U2" s="30"/>
      <c r="V2" s="30"/>
      <c r="W2" s="30"/>
      <c r="X2" s="30"/>
      <c r="Y2" s="30"/>
      <c r="Z2" s="30"/>
    </row>
    <row r="3" spans="1:26" ht="12.75" customHeight="1" x14ac:dyDescent="0.3">
      <c r="A3" s="30"/>
      <c r="B3" s="30"/>
      <c r="C3" s="30"/>
      <c r="D3" s="30"/>
      <c r="E3" s="30"/>
      <c r="F3" s="30"/>
      <c r="G3" s="30"/>
      <c r="H3" s="30"/>
      <c r="I3" s="30"/>
      <c r="J3" s="30"/>
      <c r="K3" s="30"/>
      <c r="L3" s="30"/>
      <c r="M3" s="30"/>
      <c r="N3" s="30"/>
      <c r="O3" s="30"/>
      <c r="P3" s="30"/>
      <c r="Q3" s="30"/>
      <c r="R3" s="30"/>
      <c r="S3" s="30"/>
      <c r="T3" s="30"/>
      <c r="U3" s="30"/>
      <c r="V3" s="30"/>
      <c r="W3" s="30"/>
      <c r="X3" s="30"/>
      <c r="Y3" s="30"/>
      <c r="Z3" s="30"/>
    </row>
    <row r="4" spans="1:26" ht="12.75" customHeight="1" x14ac:dyDescent="0.35">
      <c r="A4" s="30"/>
      <c r="B4" s="35" t="s">
        <v>55</v>
      </c>
      <c r="C4" s="36"/>
      <c r="D4" s="551" t="s">
        <v>56</v>
      </c>
      <c r="E4" s="552"/>
      <c r="F4" s="553"/>
      <c r="G4" s="37" t="s">
        <v>57</v>
      </c>
      <c r="H4" s="38"/>
      <c r="I4" s="38"/>
      <c r="J4" s="38"/>
      <c r="K4" s="38"/>
      <c r="L4" s="38"/>
      <c r="M4" s="38"/>
      <c r="N4" s="38"/>
      <c r="O4" s="38"/>
      <c r="P4" s="38"/>
      <c r="Q4" s="39"/>
      <c r="R4" s="38"/>
    </row>
    <row r="5" spans="1:26" ht="12.75" customHeight="1" x14ac:dyDescent="0.35">
      <c r="A5" s="30"/>
      <c r="B5" s="40"/>
      <c r="C5" s="41"/>
      <c r="D5" s="42">
        <v>1</v>
      </c>
      <c r="E5" s="43">
        <f>+D5+1</f>
        <v>2</v>
      </c>
      <c r="F5" s="43">
        <f t="shared" ref="F5:P5" si="0">E5+1</f>
        <v>3</v>
      </c>
      <c r="G5" s="43">
        <f t="shared" si="0"/>
        <v>4</v>
      </c>
      <c r="H5" s="43">
        <f t="shared" si="0"/>
        <v>5</v>
      </c>
      <c r="I5" s="43">
        <f t="shared" si="0"/>
        <v>6</v>
      </c>
      <c r="J5" s="43">
        <f t="shared" si="0"/>
        <v>7</v>
      </c>
      <c r="K5" s="43">
        <f t="shared" si="0"/>
        <v>8</v>
      </c>
      <c r="L5" s="43">
        <f t="shared" si="0"/>
        <v>9</v>
      </c>
      <c r="M5" s="43">
        <f t="shared" si="0"/>
        <v>10</v>
      </c>
      <c r="N5" s="43">
        <f t="shared" si="0"/>
        <v>11</v>
      </c>
      <c r="O5" s="43">
        <f t="shared" si="0"/>
        <v>12</v>
      </c>
      <c r="P5" s="43">
        <f t="shared" si="0"/>
        <v>13</v>
      </c>
      <c r="Q5" s="44" t="s">
        <v>58</v>
      </c>
      <c r="R5" s="45" t="s">
        <v>59</v>
      </c>
    </row>
    <row r="6" spans="1:26" ht="12.75" customHeight="1" x14ac:dyDescent="0.35">
      <c r="A6" s="30"/>
      <c r="B6" s="46" t="s">
        <v>60</v>
      </c>
      <c r="C6" s="47"/>
      <c r="D6" s="48"/>
      <c r="E6" s="48"/>
      <c r="F6" s="48"/>
      <c r="G6" s="49"/>
      <c r="H6" s="49"/>
      <c r="I6" s="49"/>
      <c r="J6" s="49"/>
      <c r="K6" s="49"/>
      <c r="L6" s="49"/>
      <c r="M6" s="49"/>
      <c r="N6" s="50"/>
      <c r="O6" s="50"/>
      <c r="P6" s="50"/>
      <c r="Q6" s="51"/>
      <c r="R6" s="52"/>
    </row>
    <row r="7" spans="1:26" ht="12.75" customHeight="1" x14ac:dyDescent="0.35">
      <c r="A7" s="30"/>
      <c r="B7" s="53" t="s">
        <v>61</v>
      </c>
      <c r="C7" s="54"/>
      <c r="D7" s="49"/>
      <c r="E7" s="49"/>
      <c r="F7" s="49"/>
      <c r="G7" s="49"/>
      <c r="H7" s="49"/>
      <c r="I7" s="49"/>
      <c r="J7" s="49"/>
      <c r="K7" s="49"/>
      <c r="L7" s="49"/>
      <c r="M7" s="49"/>
      <c r="N7" s="49"/>
      <c r="O7" s="49"/>
      <c r="P7" s="49"/>
      <c r="Q7" s="51"/>
      <c r="R7" s="52"/>
    </row>
    <row r="8" spans="1:26" ht="12.75" customHeight="1" x14ac:dyDescent="0.35">
      <c r="A8" s="30"/>
      <c r="B8" s="53" t="s">
        <v>62</v>
      </c>
      <c r="C8" s="54"/>
      <c r="D8" s="55">
        <f>'1.Red. Purch. Cost Patient Care'!D142</f>
        <v>50500</v>
      </c>
      <c r="E8" s="55">
        <f>'1.Red. Purch. Cost Patient Care'!E142</f>
        <v>50500</v>
      </c>
      <c r="F8" s="55">
        <f>'1.Red. Purch. Cost Patient Care'!F142</f>
        <v>50500</v>
      </c>
      <c r="G8" s="55">
        <f>'1.Red. Purch. Cost Patient Care'!G142</f>
        <v>53555.250000000007</v>
      </c>
      <c r="H8" s="55">
        <f>'1.Red. Purch. Cost Patient Care'!H142</f>
        <v>56795.34262499999</v>
      </c>
      <c r="I8" s="55">
        <f>'1.Red. Purch. Cost Patient Care'!I142</f>
        <v>60231.460853812518</v>
      </c>
      <c r="J8" s="55">
        <f>'1.Red. Purch. Cost Patient Care'!J142</f>
        <v>63875.464235468164</v>
      </c>
      <c r="K8" s="55">
        <f>'1.Red. Purch. Cost Patient Care'!K142</f>
        <v>67739.929821713973</v>
      </c>
      <c r="L8" s="55">
        <f>'1.Red. Purch. Cost Patient Care'!L142</f>
        <v>71838.19557592769</v>
      </c>
      <c r="M8" s="55">
        <f>'1.Red. Purch. Cost Patient Care'!M142</f>
        <v>76184.40640827133</v>
      </c>
      <c r="N8" s="55">
        <f>'1.Red. Purch. Cost Patient Care'!N142</f>
        <v>80793.562995971748</v>
      </c>
      <c r="O8" s="55">
        <f>'1.Red. Purch. Cost Patient Care'!O142</f>
        <v>85681.573557228025</v>
      </c>
      <c r="P8" s="55">
        <f>'1.Red. Purch. Cost Patient Care'!P142</f>
        <v>90865.308757440347</v>
      </c>
      <c r="Q8" s="56">
        <f t="shared" ref="Q8:Q11" si="1">AVERAGE(G8:P8)</f>
        <v>70756.049483083363</v>
      </c>
      <c r="R8" s="57">
        <f>'1.Red. Purch. Cost Patient Care'!D143</f>
        <v>598489.4941452099</v>
      </c>
    </row>
    <row r="9" spans="1:26" ht="12.75" customHeight="1" x14ac:dyDescent="0.35">
      <c r="A9" s="30"/>
      <c r="B9" s="53" t="s">
        <v>63</v>
      </c>
      <c r="C9" s="54"/>
      <c r="D9" s="55">
        <f>'1.Red. Purch. Cost Surgical'!D179</f>
        <v>70700</v>
      </c>
      <c r="E9" s="55">
        <f>'1.Red. Purch. Cost Surgical'!E179</f>
        <v>70700</v>
      </c>
      <c r="F9" s="55">
        <f>'1.Red. Purch. Cost Surgical'!F179</f>
        <v>70700</v>
      </c>
      <c r="G9" s="55">
        <f>'1.Red. Purch. Cost Surgical'!G179</f>
        <v>74977.350000000006</v>
      </c>
      <c r="H9" s="55">
        <f>'1.Red. Purch. Cost Surgical'!H179</f>
        <v>79513.479674999995</v>
      </c>
      <c r="I9" s="55">
        <f>'1.Red. Purch. Cost Surgical'!I179</f>
        <v>84324.045195337501</v>
      </c>
      <c r="J9" s="55">
        <f>'1.Red. Purch. Cost Surgical'!J179</f>
        <v>89425.64992965541</v>
      </c>
      <c r="K9" s="55">
        <f>'1.Red. Purch. Cost Surgical'!K179</f>
        <v>94835.901750399586</v>
      </c>
      <c r="L9" s="55">
        <f>'1.Red. Purch. Cost Surgical'!L179</f>
        <v>100573.47380629876</v>
      </c>
      <c r="M9" s="55">
        <f>'1.Red. Purch. Cost Surgical'!M179</f>
        <v>106658.16897157986</v>
      </c>
      <c r="N9" s="55">
        <f>'1.Red. Purch. Cost Surgical'!N179</f>
        <v>113110.98819436044</v>
      </c>
      <c r="O9" s="55">
        <f>'1.Red. Purch. Cost Surgical'!O179</f>
        <v>119954.20298011921</v>
      </c>
      <c r="P9" s="55">
        <f>'1.Red. Purch. Cost Surgical'!P179</f>
        <v>127211.43226041649</v>
      </c>
      <c r="Q9" s="56">
        <f t="shared" si="1"/>
        <v>99058.469276316726</v>
      </c>
      <c r="R9" s="57">
        <f>'OLD Purchase Cost Surgica'!D194</f>
        <v>5757324.6643788395</v>
      </c>
    </row>
    <row r="10" spans="1:26" ht="12.75" customHeight="1" x14ac:dyDescent="0.35">
      <c r="A10" s="30"/>
      <c r="B10" s="53" t="s">
        <v>64</v>
      </c>
      <c r="C10" s="54"/>
      <c r="D10" s="55">
        <f>'1.Red. Purch. Cost Vasc.'!D149</f>
        <v>55550</v>
      </c>
      <c r="E10" s="55">
        <f>'1.Red. Purch. Cost Vasc.'!E149</f>
        <v>55550</v>
      </c>
      <c r="F10" s="55">
        <f>'1.Red. Purch. Cost Vasc.'!F149</f>
        <v>55550</v>
      </c>
      <c r="G10" s="55">
        <f>'1.Red. Purch. Cost Vasc.'!G149</f>
        <v>58910.775000000009</v>
      </c>
      <c r="H10" s="55">
        <f>'1.Red. Purch. Cost Vasc.'!H149</f>
        <v>62474.876887499988</v>
      </c>
      <c r="I10" s="55">
        <f>'1.Red. Purch. Cost Vasc.'!I149</f>
        <v>66254.606939193764</v>
      </c>
      <c r="J10" s="55">
        <f>'1.Red. Purch. Cost Vasc.'!J149</f>
        <v>70263.010659014981</v>
      </c>
      <c r="K10" s="55">
        <f>'1.Red. Purch. Cost Vasc.'!K149</f>
        <v>74513.922803885376</v>
      </c>
      <c r="L10" s="55">
        <f>'1.Red. Purch. Cost Vasc.'!L149</f>
        <v>79022.015133520457</v>
      </c>
      <c r="M10" s="55">
        <f>'1.Red. Purch. Cost Vasc.'!M149</f>
        <v>83802.847049098462</v>
      </c>
      <c r="N10" s="55">
        <f>'1.Red. Purch. Cost Vasc.'!N149</f>
        <v>88872.919295568921</v>
      </c>
      <c r="O10" s="55">
        <f>'1.Red. Purch. Cost Vasc.'!O149</f>
        <v>94249.730912950821</v>
      </c>
      <c r="P10" s="55">
        <f>'1.Red. Purch. Cost Vasc.'!P149</f>
        <v>99951.839633184383</v>
      </c>
      <c r="Q10" s="56">
        <f t="shared" si="1"/>
        <v>77831.654431391711</v>
      </c>
      <c r="R10" s="57">
        <f>'1.Red. Purchase Cost Vasc.'!D103</f>
        <v>7781880.0456883181</v>
      </c>
    </row>
    <row r="11" spans="1:26" ht="12.75" customHeight="1" x14ac:dyDescent="0.35">
      <c r="A11" s="30"/>
      <c r="B11" s="58" t="s">
        <v>65</v>
      </c>
      <c r="C11" s="54"/>
      <c r="D11" s="59">
        <f t="shared" ref="D11:P11" si="2">SUM(D8:D10)</f>
        <v>176750</v>
      </c>
      <c r="E11" s="59">
        <f t="shared" si="2"/>
        <v>176750</v>
      </c>
      <c r="F11" s="59">
        <f t="shared" si="2"/>
        <v>176750</v>
      </c>
      <c r="G11" s="59">
        <f t="shared" si="2"/>
        <v>187443.375</v>
      </c>
      <c r="H11" s="59">
        <f t="shared" si="2"/>
        <v>198783.69918749999</v>
      </c>
      <c r="I11" s="59">
        <f t="shared" si="2"/>
        <v>210810.11298834378</v>
      </c>
      <c r="J11" s="59">
        <f t="shared" si="2"/>
        <v>223564.12482413856</v>
      </c>
      <c r="K11" s="59">
        <f t="shared" si="2"/>
        <v>237089.75437599892</v>
      </c>
      <c r="L11" s="59">
        <f t="shared" si="2"/>
        <v>251433.68451574689</v>
      </c>
      <c r="M11" s="59">
        <f t="shared" si="2"/>
        <v>266645.42242894962</v>
      </c>
      <c r="N11" s="59">
        <f t="shared" si="2"/>
        <v>282777.47048590111</v>
      </c>
      <c r="O11" s="59">
        <f t="shared" si="2"/>
        <v>299885.50745029806</v>
      </c>
      <c r="P11" s="59">
        <f t="shared" si="2"/>
        <v>318028.58065104124</v>
      </c>
      <c r="Q11" s="56">
        <f t="shared" si="1"/>
        <v>247646.1731907918</v>
      </c>
      <c r="R11" s="60">
        <f>SUM(R8:R10)</f>
        <v>14137694.204212368</v>
      </c>
      <c r="T11" s="61"/>
    </row>
    <row r="12" spans="1:26" ht="12.75" customHeight="1" x14ac:dyDescent="0.35">
      <c r="A12" s="30"/>
      <c r="B12" s="58"/>
      <c r="C12" s="54"/>
      <c r="D12" s="59"/>
      <c r="E12" s="59"/>
      <c r="F12" s="59"/>
      <c r="G12" s="59"/>
      <c r="H12" s="59"/>
      <c r="I12" s="59"/>
      <c r="J12" s="59"/>
      <c r="K12" s="59"/>
      <c r="L12" s="59"/>
      <c r="M12" s="59"/>
      <c r="N12" s="59"/>
      <c r="O12" s="59"/>
      <c r="P12" s="59"/>
      <c r="Q12" s="56"/>
      <c r="R12" s="60"/>
      <c r="T12" s="61"/>
    </row>
    <row r="13" spans="1:26" ht="12.75" customHeight="1" x14ac:dyDescent="0.35">
      <c r="A13" s="30"/>
      <c r="B13" s="53" t="s">
        <v>66</v>
      </c>
      <c r="C13" s="54"/>
      <c r="D13" s="59"/>
      <c r="E13" s="59"/>
      <c r="F13" s="59"/>
      <c r="G13" s="59"/>
      <c r="H13" s="59"/>
      <c r="I13" s="59"/>
      <c r="J13" s="59"/>
      <c r="K13" s="59"/>
      <c r="L13" s="59"/>
      <c r="M13" s="59"/>
      <c r="N13" s="59"/>
      <c r="O13" s="59"/>
      <c r="P13" s="59"/>
      <c r="Q13" s="56"/>
      <c r="R13" s="60"/>
      <c r="T13" s="61"/>
    </row>
    <row r="14" spans="1:26" ht="12.75" customHeight="1" x14ac:dyDescent="0.35">
      <c r="A14" s="30"/>
      <c r="B14" s="53" t="s">
        <v>62</v>
      </c>
      <c r="C14" s="54"/>
      <c r="D14" s="55">
        <f>'Red. Purch. Cost Patient Care-N'!D96</f>
        <v>770</v>
      </c>
      <c r="E14" s="55">
        <f>'Red. Purch. Cost Patient Care-N'!E96</f>
        <v>1194.0219999999999</v>
      </c>
      <c r="F14" s="55">
        <f>'Red. Purch. Cost Patient Care-N'!F96</f>
        <v>1984.2770978999997</v>
      </c>
      <c r="G14" s="55">
        <f>'Red. Purch. Cost Patient Care-N'!G96</f>
        <v>2104.3258623229503</v>
      </c>
      <c r="H14" s="55">
        <f>'Red. Purch. Cost Patient Care-N'!H96</f>
        <v>2231.6375769934884</v>
      </c>
      <c r="I14" s="55">
        <f>'Red. Purch. Cost Patient Care-N'!I96</f>
        <v>2366.6516504015949</v>
      </c>
      <c r="J14" s="55">
        <f>'Red. Purch. Cost Patient Care-N'!J96</f>
        <v>2509.8340752508911</v>
      </c>
      <c r="K14" s="55">
        <f>'Red. Purch. Cost Patient Care-N'!K96</f>
        <v>2661.6790368035704</v>
      </c>
      <c r="L14" s="55">
        <f>'Red. Purch. Cost Patient Care-N'!L96</f>
        <v>2822.7106185301864</v>
      </c>
      <c r="M14" s="55">
        <f>'Red. Purch. Cost Patient Care-N'!M96</f>
        <v>2993.4846109512637</v>
      </c>
      <c r="N14" s="55">
        <f>'Red. Purch. Cost Patient Care-N'!N96</f>
        <v>3174.5904299138147</v>
      </c>
      <c r="O14" s="55">
        <f>'Red. Purch. Cost Patient Care-N'!O96</f>
        <v>3366.6531509236011</v>
      </c>
      <c r="P14" s="55">
        <f>'Red. Purch. Cost Patient Care-N'!P96</f>
        <v>3570.3356665544788</v>
      </c>
      <c r="Q14" s="56">
        <f t="shared" ref="Q14:Q17" si="3">AVERAGE(G14:P14)</f>
        <v>2780.1902678645843</v>
      </c>
      <c r="R14" s="57">
        <f>'Red. Purch. Cost Patient Care-N'!D97</f>
        <v>21642.97870553465</v>
      </c>
      <c r="T14" s="61"/>
    </row>
    <row r="15" spans="1:26" ht="12.75" customHeight="1" x14ac:dyDescent="0.35">
      <c r="A15" s="30"/>
      <c r="B15" s="53" t="s">
        <v>63</v>
      </c>
      <c r="C15" s="54"/>
      <c r="D15" s="55">
        <f>'Red. Purch. Cost Surgical-New'!D132</f>
        <v>1070</v>
      </c>
      <c r="E15" s="55">
        <f>'Red. Purch. Cost Surgical-New'!E132</f>
        <v>2542.473</v>
      </c>
      <c r="F15" s="55">
        <f>'Red. Purch. Cost Surgical-New'!F132</f>
        <v>5006.4335186999988</v>
      </c>
      <c r="G15" s="55">
        <f>'Red. Purch. Cost Surgical-New'!G132</f>
        <v>5309.3227465813488</v>
      </c>
      <c r="H15" s="55">
        <f>'Red. Purch. Cost Surgical-New'!H132</f>
        <v>5630.5367727495204</v>
      </c>
      <c r="I15" s="55">
        <f>'Red. Purch. Cost Surgical-New'!I132</f>
        <v>5971.1842475008689</v>
      </c>
      <c r="J15" s="55">
        <f>'Red. Purch. Cost Surgical-New'!J132</f>
        <v>6332.4408944746719</v>
      </c>
      <c r="K15" s="55">
        <f>'Red. Purch. Cost Surgical-New'!K132</f>
        <v>6715.5535685903887</v>
      </c>
      <c r="L15" s="55">
        <f>'Red. Purch. Cost Surgical-New'!L132</f>
        <v>7121.8445594901068</v>
      </c>
      <c r="M15" s="55">
        <f>'Red. Purch. Cost Surgical-New'!M132</f>
        <v>7552.7161553392589</v>
      </c>
      <c r="N15" s="55">
        <f>'Red. Purch. Cost Surgical-New'!N132</f>
        <v>8009.6554827372875</v>
      </c>
      <c r="O15" s="55">
        <f>'Red. Purch. Cost Surgical-New'!O132</f>
        <v>8494.2396394428906</v>
      </c>
      <c r="P15" s="55">
        <f>'Red. Purch. Cost Surgical-New'!P132</f>
        <v>9008.1411376291853</v>
      </c>
      <c r="Q15" s="56">
        <f t="shared" si="3"/>
        <v>7014.5635204535529</v>
      </c>
      <c r="R15" s="57">
        <f>'Red. Purch. Cost Surgical-New'!D133</f>
        <v>53348.761844107721</v>
      </c>
      <c r="T15" s="61"/>
    </row>
    <row r="16" spans="1:26" ht="12.75" customHeight="1" x14ac:dyDescent="0.35">
      <c r="A16" s="30"/>
      <c r="B16" s="53" t="s">
        <v>64</v>
      </c>
      <c r="C16" s="54"/>
      <c r="D16" s="55">
        <f>'Red. Purch. Cost Vascular-New'!D111</f>
        <v>1680</v>
      </c>
      <c r="E16" s="55">
        <f>'Red. Purch. Cost Vascular-New'!E111</f>
        <v>2159.0770000000002</v>
      </c>
      <c r="F16" s="55">
        <f>'Red. Purch. Cost Vascular-New'!F111</f>
        <v>4818.3689027999999</v>
      </c>
      <c r="G16" s="55">
        <f>'Red. Purch. Cost Vascular-New'!G111</f>
        <v>5109.8802214194002</v>
      </c>
      <c r="H16" s="55">
        <f>'Red. Purch. Cost Vascular-New'!H111</f>
        <v>5419.0279748152743</v>
      </c>
      <c r="I16" s="55">
        <f>'Red. Purch. Cost Vascular-New'!I111</f>
        <v>5746.8791672915986</v>
      </c>
      <c r="J16" s="55">
        <f>'Red. Purch. Cost Vascular-New'!J111</f>
        <v>6094.5653569127398</v>
      </c>
      <c r="K16" s="55">
        <f>'Red. Purch. Cost Vascular-New'!K111</f>
        <v>6463.2865610059616</v>
      </c>
      <c r="L16" s="55">
        <f>'Red. Purch. Cost Vascular-New'!L111</f>
        <v>6854.3153979468225</v>
      </c>
      <c r="M16" s="55">
        <f>'Red. Purch. Cost Vascular-New'!M111</f>
        <v>7269.0014795226052</v>
      </c>
      <c r="N16" s="55">
        <f>'Red. Purch. Cost Vascular-New'!N111</f>
        <v>7708.7760690337218</v>
      </c>
      <c r="O16" s="55">
        <f>'Red. Purch. Cost Vascular-New'!O111</f>
        <v>8175.1570212102633</v>
      </c>
      <c r="P16" s="55">
        <f>'Red. Purch. Cost Vascular-New'!P111</f>
        <v>8669.754020993485</v>
      </c>
      <c r="Q16" s="56">
        <f t="shared" si="3"/>
        <v>6751.0643270151868</v>
      </c>
      <c r="R16" s="57">
        <f>'Red. Purch. Cost Vascular-New'!D112</f>
        <v>51702.846181660847</v>
      </c>
      <c r="T16" s="61"/>
    </row>
    <row r="17" spans="1:20" ht="12.75" customHeight="1" x14ac:dyDescent="0.35">
      <c r="A17" s="30"/>
      <c r="B17" s="58" t="s">
        <v>65</v>
      </c>
      <c r="C17" s="54"/>
      <c r="D17" s="59">
        <f t="shared" ref="D17:P17" si="4">SUM(D14:D16)</f>
        <v>3520</v>
      </c>
      <c r="E17" s="59">
        <f t="shared" si="4"/>
        <v>5895.5720000000001</v>
      </c>
      <c r="F17" s="59">
        <f t="shared" si="4"/>
        <v>11809.079519399998</v>
      </c>
      <c r="G17" s="59">
        <f t="shared" si="4"/>
        <v>12523.528830323699</v>
      </c>
      <c r="H17" s="59">
        <f t="shared" si="4"/>
        <v>13281.202324558282</v>
      </c>
      <c r="I17" s="59">
        <f t="shared" si="4"/>
        <v>14084.715065194061</v>
      </c>
      <c r="J17" s="59">
        <f t="shared" si="4"/>
        <v>14936.840326638303</v>
      </c>
      <c r="K17" s="59">
        <f t="shared" si="4"/>
        <v>15840.519166399921</v>
      </c>
      <c r="L17" s="59">
        <f t="shared" si="4"/>
        <v>16798.870575967114</v>
      </c>
      <c r="M17" s="59">
        <f t="shared" si="4"/>
        <v>17815.202245813129</v>
      </c>
      <c r="N17" s="59">
        <f t="shared" si="4"/>
        <v>18893.021981684826</v>
      </c>
      <c r="O17" s="59">
        <f t="shared" si="4"/>
        <v>20036.049811576755</v>
      </c>
      <c r="P17" s="59">
        <f t="shared" si="4"/>
        <v>21248.23082517715</v>
      </c>
      <c r="Q17" s="56">
        <f t="shared" si="3"/>
        <v>16545.818115333324</v>
      </c>
      <c r="R17" s="60">
        <f>SUM(R14:R16)</f>
        <v>126694.58673130322</v>
      </c>
      <c r="T17" s="61"/>
    </row>
    <row r="18" spans="1:20" ht="12.75" customHeight="1" x14ac:dyDescent="0.35">
      <c r="A18" s="30"/>
      <c r="B18" s="53"/>
      <c r="C18" s="54"/>
      <c r="D18" s="55"/>
      <c r="E18" s="55"/>
      <c r="F18" s="55"/>
      <c r="G18" s="55"/>
      <c r="H18" s="55"/>
      <c r="I18" s="55"/>
      <c r="J18" s="55"/>
      <c r="K18" s="55"/>
      <c r="L18" s="55"/>
      <c r="M18" s="55"/>
      <c r="N18" s="55"/>
      <c r="O18" s="55"/>
      <c r="P18" s="55"/>
      <c r="Q18" s="56"/>
      <c r="R18" s="60"/>
    </row>
    <row r="19" spans="1:20" ht="12.75" customHeight="1" x14ac:dyDescent="0.35">
      <c r="A19" s="30"/>
      <c r="B19" s="53" t="s">
        <v>67</v>
      </c>
      <c r="C19" s="54"/>
      <c r="D19" s="55"/>
      <c r="E19" s="55"/>
      <c r="F19" s="55"/>
      <c r="G19" s="55"/>
      <c r="H19" s="55"/>
      <c r="I19" s="55"/>
      <c r="J19" s="55"/>
      <c r="K19" s="55"/>
      <c r="L19" s="55"/>
      <c r="M19" s="55"/>
      <c r="N19" s="55"/>
      <c r="O19" s="55"/>
      <c r="P19" s="55"/>
      <c r="Q19" s="56"/>
      <c r="R19" s="60"/>
    </row>
    <row r="20" spans="1:20" ht="12.75" customHeight="1" x14ac:dyDescent="0.35">
      <c r="A20" s="30"/>
      <c r="B20" s="53" t="s">
        <v>62</v>
      </c>
      <c r="C20" s="54"/>
      <c r="D20" s="55">
        <f>'2.Red.Waste&amp;CreditPatient Care'!D88+'2.Red.Waste&amp;CreditPatient Care'!D119</f>
        <v>412.71999999999991</v>
      </c>
      <c r="E20" s="55">
        <f>'2.Red.Waste&amp;CreditPatient Care'!E88+'2.Red.Waste&amp;CreditPatient Care'!E119</f>
        <v>412.71999999999991</v>
      </c>
      <c r="F20" s="55">
        <f>'2.Red.Waste&amp;CreditPatient Care'!F88+'2.Red.Waste&amp;CreditPatient Care'!F119</f>
        <v>412.71999999999991</v>
      </c>
      <c r="G20" s="55">
        <f>'2.Red.Waste&amp;CreditPatient Care'!G88+'2.Red.Waste&amp;CreditPatient Care'!G119</f>
        <v>453.99200000000008</v>
      </c>
      <c r="H20" s="55">
        <f>'2.Red.Waste&amp;CreditPatient Care'!H88+'2.Red.Waste&amp;CreditPatient Care'!H119</f>
        <v>499.39120000000003</v>
      </c>
      <c r="I20" s="55">
        <f>'2.Red.Waste&amp;CreditPatient Care'!I88+'2.Red.Waste&amp;CreditPatient Care'!I119</f>
        <v>549.33032000000014</v>
      </c>
      <c r="J20" s="55">
        <f>'2.Red.Waste&amp;CreditPatient Care'!J88+'2.Red.Waste&amp;CreditPatient Care'!J119</f>
        <v>604.2633520000004</v>
      </c>
      <c r="K20" s="55">
        <f>'2.Red.Waste&amp;CreditPatient Care'!K88+'2.Red.Waste&amp;CreditPatient Care'!K119</f>
        <v>664.68968720000044</v>
      </c>
      <c r="L20" s="55">
        <f>'2.Red.Waste&amp;CreditPatient Care'!L88+'2.Red.Waste&amp;CreditPatient Care'!L119</f>
        <v>731.15865592000046</v>
      </c>
      <c r="M20" s="55">
        <f>'2.Red.Waste&amp;CreditPatient Care'!M88+'2.Red.Waste&amp;CreditPatient Care'!M119</f>
        <v>804.27452151200055</v>
      </c>
      <c r="N20" s="55">
        <f>'2.Red.Waste&amp;CreditPatient Care'!N88+'2.Red.Waste&amp;CreditPatient Care'!N119</f>
        <v>884.70197366320065</v>
      </c>
      <c r="O20" s="55">
        <f>'2.Red.Waste&amp;CreditPatient Care'!O88+'2.Red.Waste&amp;CreditPatient Care'!O119</f>
        <v>973.17217102952065</v>
      </c>
      <c r="P20" s="55">
        <f>'2.Red.Waste&amp;CreditPatient Care'!P88+'2.Red.Waste&amp;CreditPatient Care'!P119</f>
        <v>1070.4893881324731</v>
      </c>
      <c r="Q20" s="56">
        <f t="shared" ref="Q20:Q23" si="5">AVERAGE(G20:P20)</f>
        <v>723.54632694571967</v>
      </c>
      <c r="R20" s="57">
        <f>'2.Red.Waste&amp;CreditPatient Care'!D89+'2.Red.Waste&amp;CreditPatient Care'!D120</f>
        <v>5769.9060656808369</v>
      </c>
    </row>
    <row r="21" spans="1:20" ht="12.75" customHeight="1" x14ac:dyDescent="0.35">
      <c r="A21" s="30"/>
      <c r="B21" s="53" t="s">
        <v>63</v>
      </c>
      <c r="C21" s="54"/>
      <c r="D21" s="55">
        <f>'2.Red.Waste&amp;Credit Surgical'!D134+'2.Red.Waste&amp;Credit Surgical'!D186</f>
        <v>825.43999999999983</v>
      </c>
      <c r="E21" s="55">
        <f>'2.Red.Waste&amp;Credit Surgical'!E134+'2.Red.Waste&amp;Credit Surgical'!E186</f>
        <v>825.43999999999983</v>
      </c>
      <c r="F21" s="55">
        <f>'2.Red.Waste&amp;Credit Surgical'!F134+'2.Red.Waste&amp;Credit Surgical'!F186</f>
        <v>825.43999999999983</v>
      </c>
      <c r="G21" s="55">
        <f>'2.Red.Waste&amp;Credit Surgical'!G134+'2.Red.Waste&amp;Credit Surgical'!G186</f>
        <v>866.71199999999999</v>
      </c>
      <c r="H21" s="55">
        <f>'2.Red.Waste&amp;Credit Surgical'!H134+'2.Red.Waste&amp;Credit Surgical'!H186</f>
        <v>910.04759999999987</v>
      </c>
      <c r="I21" s="55">
        <f>'2.Red.Waste&amp;Credit Surgical'!I134+'2.Red.Waste&amp;Credit Surgical'!I186</f>
        <v>955.54998000000023</v>
      </c>
      <c r="J21" s="55">
        <f>'2.Red.Waste&amp;Credit Surgical'!J134+'2.Red.Waste&amp;Credit Surgical'!J186</f>
        <v>1003.327479</v>
      </c>
      <c r="K21" s="55">
        <f>'2.Red.Waste&amp;Credit Surgical'!K134+'2.Red.Waste&amp;Credit Surgical'!K186</f>
        <v>1053.4938529500002</v>
      </c>
      <c r="L21" s="55">
        <f>'2.Red.Waste&amp;Credit Surgical'!L134+'2.Red.Waste&amp;Credit Surgical'!L186</f>
        <v>1106.1685455975</v>
      </c>
      <c r="M21" s="55">
        <f>'2.Red.Waste&amp;Credit Surgical'!M134+'2.Red.Waste&amp;Credit Surgical'!M186</f>
        <v>1161.4769728773754</v>
      </c>
      <c r="N21" s="55">
        <f>'2.Red.Waste&amp;Credit Surgical'!N134+'2.Red.Waste&amp;Credit Surgical'!N186</f>
        <v>1219.5508215212442</v>
      </c>
      <c r="O21" s="55">
        <f>'2.Red.Waste&amp;Credit Surgical'!O134+'2.Red.Waste&amp;Credit Surgical'!O186</f>
        <v>1280.5283625973061</v>
      </c>
      <c r="P21" s="55">
        <f>'2.Red.Waste&amp;Credit Surgical'!P134+'2.Red.Waste&amp;Credit Surgical'!P186</f>
        <v>1344.5547807271716</v>
      </c>
      <c r="Q21" s="56">
        <f t="shared" si="5"/>
        <v>1090.14103952706</v>
      </c>
      <c r="R21" s="57">
        <f>'2.Red.Waste&amp;Credit Surgical'!D135+'2.Red.Waste&amp;Credit Surgical'!D187</f>
        <v>9378.3389266817831</v>
      </c>
    </row>
    <row r="22" spans="1:20" ht="12.75" customHeight="1" x14ac:dyDescent="0.35">
      <c r="A22" s="30"/>
      <c r="B22" s="53" t="s">
        <v>64</v>
      </c>
      <c r="C22" s="54"/>
      <c r="D22" s="55">
        <f>'2.Red.Waste&amp;Credit Vascular'!D113+'2.Red.Waste&amp;Credit Vascular'!D155</f>
        <v>648.55999999999983</v>
      </c>
      <c r="E22" s="55">
        <f>'2.Red.Waste&amp;Credit Vascular'!E113+'2.Red.Waste&amp;Credit Vascular'!E155</f>
        <v>648.55999999999983</v>
      </c>
      <c r="F22" s="55">
        <f>'2.Red.Waste&amp;Credit Vascular'!F113+'2.Red.Waste&amp;Credit Vascular'!F155</f>
        <v>648.55999999999983</v>
      </c>
      <c r="G22" s="55">
        <f>'2.Red.Waste&amp;Credit Vascular'!G113+'2.Red.Waste&amp;Credit Vascular'!G155</f>
        <v>713.41600000000005</v>
      </c>
      <c r="H22" s="55">
        <f>'2.Red.Waste&amp;Credit Vascular'!H113+'2.Red.Waste&amp;Credit Vascular'!H155</f>
        <v>784.75759999999991</v>
      </c>
      <c r="I22" s="55">
        <f>'2.Red.Waste&amp;Credit Vascular'!I113+'2.Red.Waste&amp;Credit Vascular'!I155</f>
        <v>863.23336000000029</v>
      </c>
      <c r="J22" s="55">
        <f>'2.Red.Waste&amp;Credit Vascular'!J113+'2.Red.Waste&amp;Credit Vascular'!J155</f>
        <v>949.55669600000056</v>
      </c>
      <c r="K22" s="55">
        <f>'2.Red.Waste&amp;Credit Vascular'!K113+'2.Red.Waste&amp;Credit Vascular'!K155</f>
        <v>1044.5123656000005</v>
      </c>
      <c r="L22" s="55">
        <f>'2.Red.Waste&amp;Credit Vascular'!L113+'2.Red.Waste&amp;Credit Vascular'!L155</f>
        <v>1148.9636021600008</v>
      </c>
      <c r="M22" s="55">
        <f>'2.Red.Waste&amp;Credit Vascular'!M113+'2.Red.Waste&amp;Credit Vascular'!M155</f>
        <v>1263.859962376001</v>
      </c>
      <c r="N22" s="55">
        <f>'2.Red.Waste&amp;Credit Vascular'!N113+'2.Red.Waste&amp;Credit Vascular'!N155</f>
        <v>1390.245958613601</v>
      </c>
      <c r="O22" s="55">
        <f>'2.Red.Waste&amp;Credit Vascular'!O113+'2.Red.Waste&amp;Credit Vascular'!O155</f>
        <v>1529.270554474961</v>
      </c>
      <c r="P22" s="55">
        <f>'2.Red.Waste&amp;Credit Vascular'!P113+'2.Red.Waste&amp;Credit Vascular'!P155</f>
        <v>1682.1976099224578</v>
      </c>
      <c r="Q22" s="56">
        <f t="shared" si="5"/>
        <v>1137.0013709147022</v>
      </c>
      <c r="R22" s="57">
        <f>'2.Red.Waste&amp;Credit Vascular'!D114+'2.Red.Waste&amp;Credit Vascular'!D156</f>
        <v>9066.995246069886</v>
      </c>
    </row>
    <row r="23" spans="1:20" ht="12.75" customHeight="1" x14ac:dyDescent="0.35">
      <c r="A23" s="30"/>
      <c r="B23" s="58" t="s">
        <v>65</v>
      </c>
      <c r="C23" s="54"/>
      <c r="D23" s="59">
        <f t="shared" ref="D23:P23" si="6">SUM(D20:D22)</f>
        <v>1886.7199999999998</v>
      </c>
      <c r="E23" s="59">
        <f t="shared" si="6"/>
        <v>1886.7199999999998</v>
      </c>
      <c r="F23" s="59">
        <f t="shared" si="6"/>
        <v>1886.7199999999998</v>
      </c>
      <c r="G23" s="59">
        <f t="shared" si="6"/>
        <v>2034.1200000000003</v>
      </c>
      <c r="H23" s="59">
        <f t="shared" si="6"/>
        <v>2194.1963999999998</v>
      </c>
      <c r="I23" s="59">
        <f t="shared" si="6"/>
        <v>2368.1136600000004</v>
      </c>
      <c r="J23" s="59">
        <f t="shared" si="6"/>
        <v>2557.147527000001</v>
      </c>
      <c r="K23" s="59">
        <f t="shared" si="6"/>
        <v>2762.6959057500012</v>
      </c>
      <c r="L23" s="59">
        <f t="shared" si="6"/>
        <v>2986.2908036775016</v>
      </c>
      <c r="M23" s="59">
        <f t="shared" si="6"/>
        <v>3229.6114567653767</v>
      </c>
      <c r="N23" s="59">
        <f t="shared" si="6"/>
        <v>3494.498753798046</v>
      </c>
      <c r="O23" s="59">
        <f t="shared" si="6"/>
        <v>3782.9710881017877</v>
      </c>
      <c r="P23" s="59">
        <f t="shared" si="6"/>
        <v>4097.2417787821023</v>
      </c>
      <c r="Q23" s="56">
        <f t="shared" si="5"/>
        <v>2950.688737387482</v>
      </c>
      <c r="R23" s="60">
        <f>SUM(R20:R22)</f>
        <v>24215.240238432503</v>
      </c>
      <c r="T23" s="61"/>
    </row>
    <row r="24" spans="1:20" ht="12.75" customHeight="1" x14ac:dyDescent="0.35">
      <c r="A24" s="30"/>
      <c r="B24" s="62"/>
      <c r="C24" s="63"/>
      <c r="D24" s="64"/>
      <c r="E24" s="64"/>
      <c r="F24" s="64"/>
      <c r="G24" s="64"/>
      <c r="H24" s="64"/>
      <c r="I24" s="64"/>
      <c r="J24" s="64"/>
      <c r="K24" s="64"/>
      <c r="L24" s="64"/>
      <c r="M24" s="64"/>
      <c r="N24" s="64"/>
      <c r="O24" s="64"/>
      <c r="P24" s="64"/>
      <c r="Q24" s="56"/>
      <c r="R24" s="60"/>
    </row>
    <row r="25" spans="1:20" ht="12.75" customHeight="1" x14ac:dyDescent="0.35">
      <c r="A25" s="30"/>
      <c r="B25" s="46" t="s">
        <v>68</v>
      </c>
      <c r="C25" s="63"/>
      <c r="D25" s="64"/>
      <c r="E25" s="64"/>
      <c r="F25" s="64"/>
      <c r="G25" s="64"/>
      <c r="H25" s="64"/>
      <c r="I25" s="64"/>
      <c r="J25" s="64"/>
      <c r="K25" s="64"/>
      <c r="L25" s="64"/>
      <c r="M25" s="64"/>
      <c r="N25" s="64"/>
      <c r="O25" s="64"/>
      <c r="P25" s="64"/>
      <c r="Q25" s="56"/>
      <c r="R25" s="60"/>
    </row>
    <row r="26" spans="1:20" ht="12.75" customHeight="1" x14ac:dyDescent="0.35">
      <c r="A26" s="30"/>
      <c r="B26" s="53" t="s">
        <v>69</v>
      </c>
      <c r="C26" s="63"/>
      <c r="D26" s="64"/>
      <c r="E26" s="64"/>
      <c r="F26" s="64"/>
      <c r="G26" s="64"/>
      <c r="H26" s="64"/>
      <c r="I26" s="64"/>
      <c r="J26" s="64"/>
      <c r="K26" s="64"/>
      <c r="L26" s="64"/>
      <c r="M26" s="64"/>
      <c r="N26" s="64"/>
      <c r="O26" s="64"/>
      <c r="P26" s="64"/>
      <c r="Q26" s="56"/>
      <c r="R26" s="60"/>
    </row>
    <row r="27" spans="1:20" ht="12.75" customHeight="1" x14ac:dyDescent="0.35">
      <c r="A27" s="30"/>
      <c r="B27" s="53" t="s">
        <v>62</v>
      </c>
      <c r="C27" s="54"/>
      <c r="D27" s="64">
        <f>'3.Red.Emission Patient Care '!D68</f>
        <v>1193.472</v>
      </c>
      <c r="E27" s="64">
        <f>'3.Red.Emission Patient Care '!E68</f>
        <v>1199.4393599999999</v>
      </c>
      <c r="F27" s="64">
        <f>'3.Red.Emission Patient Care '!F68</f>
        <v>1205.4663936000002</v>
      </c>
      <c r="G27" s="64">
        <f>'3.Red.Emission Patient Care '!G68</f>
        <v>1241.3904975359999</v>
      </c>
      <c r="H27" s="64">
        <f>'3.Red.Emission Patient Care '!H68</f>
        <v>1278.8673145113601</v>
      </c>
      <c r="I27" s="64">
        <f>'3.Red.Emission Patient Care '!I68</f>
        <v>1317.9720452564734</v>
      </c>
      <c r="J27" s="64">
        <f>'3.Red.Emission Patient Care '!J68</f>
        <v>1358.7836261890388</v>
      </c>
      <c r="K27" s="64">
        <f>'3.Red.Emission Patient Care '!K68</f>
        <v>1401.3849159549288</v>
      </c>
      <c r="L27" s="64">
        <f>'3.Red.Emission Patient Care '!L68</f>
        <v>6536.5051543901718</v>
      </c>
      <c r="M27" s="64">
        <f>'3.Red.Emission Patient Care '!M68</f>
        <v>6746.4796048909611</v>
      </c>
      <c r="N27" s="64">
        <f>'3.Red.Emission Patient Care '!N68</f>
        <v>6420.0776680595454</v>
      </c>
      <c r="O27" s="64">
        <f>'3.Red.Emission Patient Care '!O68</f>
        <v>6399.1275444901094</v>
      </c>
      <c r="P27" s="64">
        <f>'3.Red.Emission Patient Care '!P68</f>
        <v>5995.3436855721166</v>
      </c>
      <c r="Q27" s="56">
        <f t="shared" ref="Q27:Q29" si="7">AVERAGE(G27:P27)</f>
        <v>3869.5932056850702</v>
      </c>
      <c r="R27" s="60">
        <f>'3.Red.Emission Patient Care '!D69</f>
        <v>27038.542366192596</v>
      </c>
    </row>
    <row r="28" spans="1:20" ht="12.75" customHeight="1" x14ac:dyDescent="0.35">
      <c r="A28" s="30"/>
      <c r="B28" s="53" t="s">
        <v>63</v>
      </c>
      <c r="C28" s="54"/>
      <c r="D28" s="64">
        <f>'3.Red.Emission Surgical'!D84</f>
        <v>1963.5840000000001</v>
      </c>
      <c r="E28" s="64">
        <f>'3.Red.Emission Surgical'!E84</f>
        <v>1973.4019200000002</v>
      </c>
      <c r="F28" s="64">
        <f>'3.Red.Emission Surgical'!F84</f>
        <v>1983.3180191999995</v>
      </c>
      <c r="G28" s="64">
        <f>'3.Red.Emission Surgical'!G84</f>
        <v>2003.1511993919999</v>
      </c>
      <c r="H28" s="64">
        <f>'3.Red.Emission Surgical'!H84</f>
        <v>2023.1827113859199</v>
      </c>
      <c r="I28" s="64">
        <f>'3.Red.Emission Surgical'!I84</f>
        <v>2043.4145384997792</v>
      </c>
      <c r="J28" s="64">
        <f>'3.Red.Emission Surgical'!J84</f>
        <v>2063.8486838847766</v>
      </c>
      <c r="K28" s="64">
        <f>'3.Red.Emission Surgical'!K84</f>
        <v>2084.4871707236252</v>
      </c>
      <c r="L28" s="64">
        <f>'3.Red.Emission Surgical'!L84</f>
        <v>9517.855275156182</v>
      </c>
      <c r="M28" s="64">
        <f>'3.Red.Emission Surgical'!M84</f>
        <v>9613.0338279077423</v>
      </c>
      <c r="N28" s="64">
        <f>'3.Red.Emission Surgical'!N84</f>
        <v>8948.5384020155016</v>
      </c>
      <c r="O28" s="64">
        <f>'3.Red.Emission Surgical'!O84</f>
        <v>8721.6929535244126</v>
      </c>
      <c r="P28" s="64">
        <f>'3.Red.Emission Surgical'!P84</f>
        <v>7987.3535209090142</v>
      </c>
      <c r="Q28" s="56">
        <f t="shared" si="7"/>
        <v>5500.6558283398954</v>
      </c>
      <c r="R28" s="60">
        <f>'3.Red.Emission Surgical'!D85</f>
        <v>39370.238929380459</v>
      </c>
    </row>
    <row r="29" spans="1:20" ht="12.75" customHeight="1" x14ac:dyDescent="0.35">
      <c r="A29" s="30"/>
      <c r="B29" s="53" t="s">
        <v>64</v>
      </c>
      <c r="C29" s="54"/>
      <c r="D29" s="64">
        <f>'3.Red.Emission Vasc'!D74</f>
        <v>1804.4522414740466</v>
      </c>
      <c r="E29" s="64">
        <f>'3.Red.Emission Vasc'!E74</f>
        <v>1677.1615858150296</v>
      </c>
      <c r="F29" s="64">
        <f>'3.Red.Emission Vasc'!F74</f>
        <v>1750.5071895191609</v>
      </c>
      <c r="G29" s="64">
        <f>'3.Red.Emission Vasc'!G74</f>
        <v>1791.5173675991607</v>
      </c>
      <c r="H29" s="64">
        <f>'3.Red.Emission Vasc'!H74</f>
        <v>1834.1939746919609</v>
      </c>
      <c r="I29" s="64">
        <f>'3.Red.Emission Vasc'!I74</f>
        <v>1878.6164914492888</v>
      </c>
      <c r="J29" s="64">
        <f>'3.Red.Emission Vasc'!J74</f>
        <v>1924.86833414747</v>
      </c>
      <c r="K29" s="64">
        <f>'3.Red.Emission Vasc'!K74</f>
        <v>1973.0370510845771</v>
      </c>
      <c r="L29" s="64">
        <f>'3.Red.Emission Vasc'!L74</f>
        <v>9146.6156822543871</v>
      </c>
      <c r="M29" s="64">
        <f>'3.Red.Emission Vasc'!M74</f>
        <v>9382.9769637090667</v>
      </c>
      <c r="N29" s="64">
        <f>'3.Red.Emission Vasc'!N74</f>
        <v>8874.9429740651776</v>
      </c>
      <c r="O29" s="64">
        <f>'3.Red.Emission Vasc'!O74</f>
        <v>8792.7104396603227</v>
      </c>
      <c r="P29" s="64">
        <f>'3.Red.Emission Vasc'!P74</f>
        <v>8188.5928859629621</v>
      </c>
      <c r="Q29" s="56">
        <f t="shared" si="7"/>
        <v>5378.8072164624373</v>
      </c>
      <c r="R29" s="60">
        <f>'3.Red.Emission Vasc'!D75</f>
        <v>37852.204397910748</v>
      </c>
    </row>
    <row r="30" spans="1:20" ht="12.75" customHeight="1" x14ac:dyDescent="0.35">
      <c r="A30" s="30"/>
      <c r="B30" s="58" t="s">
        <v>65</v>
      </c>
      <c r="C30" s="54"/>
      <c r="D30" s="59">
        <f t="shared" ref="D30:R30" si="8">SUM(D27:D29)</f>
        <v>4961.5082414740464</v>
      </c>
      <c r="E30" s="59">
        <f t="shared" si="8"/>
        <v>4850.0028658150295</v>
      </c>
      <c r="F30" s="59">
        <f t="shared" si="8"/>
        <v>4939.291602319161</v>
      </c>
      <c r="G30" s="59">
        <f t="shared" si="8"/>
        <v>5036.0590645271604</v>
      </c>
      <c r="H30" s="59">
        <f t="shared" si="8"/>
        <v>5136.2440005892404</v>
      </c>
      <c r="I30" s="59">
        <f t="shared" si="8"/>
        <v>5240.0030752055409</v>
      </c>
      <c r="J30" s="59">
        <f t="shared" si="8"/>
        <v>5347.5006442212853</v>
      </c>
      <c r="K30" s="59">
        <f t="shared" si="8"/>
        <v>5458.9091377631312</v>
      </c>
      <c r="L30" s="59">
        <f t="shared" si="8"/>
        <v>25200.976111800741</v>
      </c>
      <c r="M30" s="59">
        <f t="shared" si="8"/>
        <v>25742.490396507768</v>
      </c>
      <c r="N30" s="59">
        <f t="shared" si="8"/>
        <v>24243.559044140224</v>
      </c>
      <c r="O30" s="59">
        <f t="shared" si="8"/>
        <v>23913.530937674845</v>
      </c>
      <c r="P30" s="59">
        <f t="shared" si="8"/>
        <v>22171.290092444091</v>
      </c>
      <c r="Q30" s="56">
        <f t="shared" si="8"/>
        <v>14749.056250487403</v>
      </c>
      <c r="R30" s="60">
        <f t="shared" si="8"/>
        <v>104260.98569348379</v>
      </c>
      <c r="T30" s="61"/>
    </row>
    <row r="31" spans="1:20" ht="12.75" customHeight="1" x14ac:dyDescent="0.35">
      <c r="A31" s="30"/>
      <c r="B31" s="53"/>
      <c r="C31" s="63"/>
      <c r="D31" s="64"/>
      <c r="E31" s="64"/>
      <c r="F31" s="64"/>
      <c r="G31" s="64"/>
      <c r="H31" s="64"/>
      <c r="I31" s="64"/>
      <c r="J31" s="64"/>
      <c r="K31" s="64"/>
      <c r="L31" s="64"/>
      <c r="M31" s="64"/>
      <c r="N31" s="64"/>
      <c r="O31" s="64"/>
      <c r="P31" s="64"/>
      <c r="Q31" s="56"/>
      <c r="R31" s="60"/>
    </row>
    <row r="32" spans="1:20" ht="12.75" customHeight="1" x14ac:dyDescent="0.35">
      <c r="A32" s="30"/>
      <c r="B32" s="53" t="s">
        <v>70</v>
      </c>
      <c r="C32" s="65"/>
      <c r="D32" s="66">
        <f>'4. Supply Resiliency'!D37</f>
        <v>10125</v>
      </c>
      <c r="E32" s="66">
        <f>'4. Supply Resiliency'!E37</f>
        <v>10125</v>
      </c>
      <c r="F32" s="66">
        <f>'4. Supply Resiliency'!F37</f>
        <v>101250.00000000001</v>
      </c>
      <c r="G32" s="66">
        <f>'4. Supply Resiliency'!G37</f>
        <v>101250.00000000001</v>
      </c>
      <c r="H32" s="66">
        <f>'4. Supply Resiliency'!H37</f>
        <v>101250.00000000001</v>
      </c>
      <c r="I32" s="66">
        <f>'4. Supply Resiliency'!I37</f>
        <v>101250.00000000001</v>
      </c>
      <c r="J32" s="66">
        <f>'4. Supply Resiliency'!J37</f>
        <v>101250.00000000001</v>
      </c>
      <c r="K32" s="66">
        <f>'4. Supply Resiliency'!K37</f>
        <v>101250.00000000001</v>
      </c>
      <c r="L32" s="66">
        <f>'4. Supply Resiliency'!L37</f>
        <v>101250.00000000001</v>
      </c>
      <c r="M32" s="66">
        <f>'4. Supply Resiliency'!M37</f>
        <v>101250.00000000001</v>
      </c>
      <c r="N32" s="66">
        <f>'4. Supply Resiliency'!N37</f>
        <v>101250.00000000001</v>
      </c>
      <c r="O32" s="66">
        <f>'4. Supply Resiliency'!O37</f>
        <v>101250.00000000001</v>
      </c>
      <c r="P32" s="66">
        <f>'4. Supply Resiliency'!P37</f>
        <v>101250.00000000001</v>
      </c>
      <c r="Q32" s="67">
        <f>AVERAGE(D32:P32)</f>
        <v>87230.769230769249</v>
      </c>
      <c r="R32" s="68">
        <f>'4. Supply Resiliency'!D38</f>
        <v>781660.4894330739</v>
      </c>
      <c r="T32" s="61"/>
    </row>
    <row r="33" spans="1:26" ht="12.75" customHeight="1" x14ac:dyDescent="0.35">
      <c r="A33" s="30"/>
      <c r="B33" s="58" t="s">
        <v>71</v>
      </c>
      <c r="C33" s="65"/>
      <c r="D33" s="66">
        <f t="shared" ref="D33:R33" si="9">D11+D23+D30+D32</f>
        <v>193723.22824147405</v>
      </c>
      <c r="E33" s="66">
        <f t="shared" si="9"/>
        <v>193611.72286581504</v>
      </c>
      <c r="F33" s="66">
        <f t="shared" si="9"/>
        <v>284826.01160231919</v>
      </c>
      <c r="G33" s="66">
        <f t="shared" si="9"/>
        <v>295763.55406452715</v>
      </c>
      <c r="H33" s="66">
        <f t="shared" si="9"/>
        <v>307364.13958808925</v>
      </c>
      <c r="I33" s="66">
        <f t="shared" si="9"/>
        <v>319668.22972354933</v>
      </c>
      <c r="J33" s="66">
        <f t="shared" si="9"/>
        <v>332718.77299535985</v>
      </c>
      <c r="K33" s="66">
        <f t="shared" si="9"/>
        <v>346561.3594195121</v>
      </c>
      <c r="L33" s="66">
        <f t="shared" si="9"/>
        <v>380870.95143122511</v>
      </c>
      <c r="M33" s="66">
        <f t="shared" si="9"/>
        <v>396867.52428222279</v>
      </c>
      <c r="N33" s="66">
        <f t="shared" si="9"/>
        <v>411765.52828383935</v>
      </c>
      <c r="O33" s="66">
        <f t="shared" si="9"/>
        <v>428832.00947607472</v>
      </c>
      <c r="P33" s="66">
        <f t="shared" si="9"/>
        <v>445547.11252226745</v>
      </c>
      <c r="Q33" s="67">
        <f t="shared" si="9"/>
        <v>352576.68740943592</v>
      </c>
      <c r="R33" s="68">
        <f t="shared" si="9"/>
        <v>15047830.919577358</v>
      </c>
      <c r="T33" s="61"/>
    </row>
    <row r="34" spans="1:26" ht="12.75" customHeight="1" x14ac:dyDescent="0.35">
      <c r="A34" s="30"/>
      <c r="B34" s="53" t="s">
        <v>72</v>
      </c>
      <c r="C34" s="54"/>
      <c r="D34" s="69">
        <f>-'5. Ongoing Operating Costs'!D54</f>
        <v>-34232.5</v>
      </c>
      <c r="E34" s="69">
        <f>-'5. Ongoing Operating Costs'!E54</f>
        <v>-48413.3125</v>
      </c>
      <c r="F34" s="69">
        <f>-'5. Ongoing Operating Costs'!F54</f>
        <v>-49623.645312499997</v>
      </c>
      <c r="G34" s="69">
        <f>-'5. Ongoing Operating Costs'!G54</f>
        <v>-50864.236445312483</v>
      </c>
      <c r="H34" s="69">
        <f>-'5. Ongoing Operating Costs'!H54</f>
        <v>-52135.842356445297</v>
      </c>
      <c r="I34" s="69">
        <f>-'5. Ongoing Operating Costs'!I54</f>
        <v>-53439.23841535642</v>
      </c>
      <c r="J34" s="69">
        <f>-'5. Ongoing Operating Costs'!J54</f>
        <v>-54775.219375740322</v>
      </c>
      <c r="K34" s="69">
        <f>-'5. Ongoing Operating Costs'!K54</f>
        <v>-56144.599860133829</v>
      </c>
      <c r="L34" s="69">
        <f>-'5. Ongoing Operating Costs'!L54</f>
        <v>-57548.214856637169</v>
      </c>
      <c r="M34" s="69">
        <f>-'5. Ongoing Operating Costs'!M54</f>
        <v>-58986.920228053103</v>
      </c>
      <c r="N34" s="69">
        <f>-'5. Ongoing Operating Costs'!N54</f>
        <v>-60461.593233754422</v>
      </c>
      <c r="O34" s="69">
        <f>-'5. Ongoing Operating Costs'!O54</f>
        <v>-61973.133064598274</v>
      </c>
      <c r="P34" s="69">
        <f>-'5. Ongoing Operating Costs'!P54</f>
        <v>-63522.461391213234</v>
      </c>
      <c r="Q34" s="70">
        <f>AVERAGE(D34:P34)</f>
        <v>-54009.301310749594</v>
      </c>
      <c r="R34" s="71">
        <f>-'5. Ongoing Operating Costs'!D55</f>
        <v>-495739.0292456724</v>
      </c>
      <c r="T34" s="61"/>
    </row>
    <row r="35" spans="1:26" ht="12.75" customHeight="1" x14ac:dyDescent="0.35">
      <c r="A35" s="30"/>
      <c r="B35" s="72" t="s">
        <v>73</v>
      </c>
      <c r="C35" s="73"/>
      <c r="D35" s="74">
        <f t="shared" ref="D35:R35" si="10">D33+D34</f>
        <v>159490.72824147405</v>
      </c>
      <c r="E35" s="74">
        <f t="shared" si="10"/>
        <v>145198.41036581504</v>
      </c>
      <c r="F35" s="74">
        <f t="shared" si="10"/>
        <v>235202.36628981918</v>
      </c>
      <c r="G35" s="74">
        <f t="shared" si="10"/>
        <v>244899.31761921468</v>
      </c>
      <c r="H35" s="74">
        <f t="shared" si="10"/>
        <v>255228.29723164396</v>
      </c>
      <c r="I35" s="74">
        <f t="shared" si="10"/>
        <v>266228.9913081929</v>
      </c>
      <c r="J35" s="74">
        <f t="shared" si="10"/>
        <v>277943.55361961952</v>
      </c>
      <c r="K35" s="74">
        <f t="shared" si="10"/>
        <v>290416.75955937826</v>
      </c>
      <c r="L35" s="74">
        <f t="shared" si="10"/>
        <v>323322.73657458794</v>
      </c>
      <c r="M35" s="74">
        <f t="shared" si="10"/>
        <v>337880.60405416967</v>
      </c>
      <c r="N35" s="74">
        <f t="shared" si="10"/>
        <v>351303.93505008495</v>
      </c>
      <c r="O35" s="74">
        <f t="shared" si="10"/>
        <v>366858.87641147646</v>
      </c>
      <c r="P35" s="74">
        <f t="shared" si="10"/>
        <v>382024.65113105421</v>
      </c>
      <c r="Q35" s="75">
        <f t="shared" si="10"/>
        <v>298567.38609868631</v>
      </c>
      <c r="R35" s="76">
        <f t="shared" si="10"/>
        <v>14552091.890331686</v>
      </c>
    </row>
    <row r="36" spans="1:26" ht="12.75" customHeight="1" x14ac:dyDescent="0.3">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ht="12.75" customHeight="1" x14ac:dyDescent="0.3">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ht="12.75" customHeight="1" x14ac:dyDescent="0.3">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ht="12.75" customHeight="1" x14ac:dyDescent="0.3">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2.75" customHeight="1" x14ac:dyDescent="0.3">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2.75" customHeight="1" x14ac:dyDescent="0.3">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12.75" customHeight="1" x14ac:dyDescent="0.3">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ht="12.75" customHeight="1" x14ac:dyDescent="0.3">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ht="12.75" customHeight="1" x14ac:dyDescent="0.3">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ht="12.75" customHeight="1" x14ac:dyDescent="0.3">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ht="12.75" customHeight="1" x14ac:dyDescent="0.3">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ht="12.75" customHeight="1" x14ac:dyDescent="0.3">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ht="12.75" customHeight="1" x14ac:dyDescent="0.3">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2.75" customHeight="1" x14ac:dyDescent="0.3">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12.75" customHeight="1" x14ac:dyDescent="0.3">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ht="12.75" customHeight="1" x14ac:dyDescent="0.3">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ht="12.75" customHeight="1" x14ac:dyDescent="0.3">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ht="12.75" customHeight="1" x14ac:dyDescent="0.3">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ht="12.75" customHeight="1" x14ac:dyDescent="0.3">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ht="12.75" customHeight="1" x14ac:dyDescent="0.3">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ht="12.75" customHeight="1" x14ac:dyDescent="0.3">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2.75" customHeight="1" x14ac:dyDescent="0.3">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2.75" customHeight="1" x14ac:dyDescent="0.3">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12.75" customHeight="1" x14ac:dyDescent="0.3">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ht="12.75" customHeight="1" x14ac:dyDescent="0.3">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2.75" customHeight="1" x14ac:dyDescent="0.3">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2.75" customHeight="1" x14ac:dyDescent="0.3">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2.75" customHeight="1" x14ac:dyDescent="0.3">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ht="12.75" customHeight="1" x14ac:dyDescent="0.3">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ht="12.75" customHeight="1" x14ac:dyDescent="0.3">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2.75" customHeight="1" x14ac:dyDescent="0.3">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12.75" customHeight="1" x14ac:dyDescent="0.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row>
    <row r="68" spans="1:26" ht="12.75" customHeight="1" x14ac:dyDescent="0.3">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row>
    <row r="69" spans="1:26" ht="12.75" customHeight="1" x14ac:dyDescent="0.3">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row>
    <row r="70" spans="1:26" ht="12.75" customHeight="1" x14ac:dyDescent="0.3">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row>
    <row r="71" spans="1:26" ht="12.75" customHeight="1" x14ac:dyDescent="0.3">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row>
    <row r="72" spans="1:26" ht="12.75" customHeight="1" x14ac:dyDescent="0.3">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row>
    <row r="73" spans="1:26" ht="12.75" customHeight="1" x14ac:dyDescent="0.3">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2.75" customHeight="1" x14ac:dyDescent="0.3">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2.75" customHeight="1" x14ac:dyDescent="0.3">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12.75" customHeight="1" x14ac:dyDescent="0.3">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row>
    <row r="77" spans="1:26" ht="12.75" customHeight="1" x14ac:dyDescent="0.3">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row>
    <row r="78" spans="1:26" ht="12.75" customHeight="1" x14ac:dyDescent="0.3">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row>
    <row r="79" spans="1:26" ht="12.75" customHeight="1" x14ac:dyDescent="0.3">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row>
    <row r="80" spans="1:26" ht="12.75" customHeight="1" x14ac:dyDescent="0.3">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row>
    <row r="81" spans="1:26" ht="12.75" customHeight="1" x14ac:dyDescent="0.3">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row>
    <row r="82" spans="1:26" ht="12.75" customHeight="1" x14ac:dyDescent="0.3">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2.75" customHeight="1" x14ac:dyDescent="0.3">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12.75" customHeight="1" x14ac:dyDescent="0.3">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row>
    <row r="85" spans="1:26" ht="12.75" customHeight="1" x14ac:dyDescent="0.3">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row>
    <row r="86" spans="1:26" ht="12.75" customHeight="1" x14ac:dyDescent="0.3">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row>
    <row r="87" spans="1:26" ht="12.75" customHeight="1" x14ac:dyDescent="0.3">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row>
    <row r="88" spans="1:26" ht="12.75" customHeight="1" x14ac:dyDescent="0.3">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row>
    <row r="89" spans="1:26" ht="12.75" customHeight="1" x14ac:dyDescent="0.3">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row>
    <row r="90" spans="1:26" ht="12.75" customHeight="1" x14ac:dyDescent="0.3">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2.75" customHeight="1" x14ac:dyDescent="0.3">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2.75" customHeight="1" x14ac:dyDescent="0.3">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2.75" customHeight="1" x14ac:dyDescent="0.3">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12.75" customHeight="1" x14ac:dyDescent="0.3">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row>
    <row r="95" spans="1:26" ht="12.75" customHeight="1" x14ac:dyDescent="0.3">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row>
    <row r="96" spans="1:26" ht="12.75" customHeight="1" x14ac:dyDescent="0.3">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row>
    <row r="97" spans="1:26" ht="12.75" customHeight="1" x14ac:dyDescent="0.3">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row>
    <row r="98" spans="1:26" ht="12.75" customHeight="1" x14ac:dyDescent="0.3">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row>
    <row r="99" spans="1:26" ht="12.75" customHeight="1" x14ac:dyDescent="0.3">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row>
    <row r="100" spans="1:26" ht="12.75" customHeight="1" x14ac:dyDescent="0.3">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2.75" customHeight="1" x14ac:dyDescent="0.3">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2.75" customHeight="1" x14ac:dyDescent="0.3">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2.75" customHeight="1" x14ac:dyDescent="0.3">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2.75" customHeight="1" x14ac:dyDescent="0.3">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2.75" customHeight="1" x14ac:dyDescent="0.3">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2.75" customHeight="1" x14ac:dyDescent="0.3">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2.75" customHeight="1" x14ac:dyDescent="0.3">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2.75" customHeight="1" x14ac:dyDescent="0.3">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2.75" customHeight="1" x14ac:dyDescent="0.3">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2.75" customHeight="1" x14ac:dyDescent="0.3">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2.75" customHeight="1" x14ac:dyDescent="0.3">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2.75" customHeight="1" x14ac:dyDescent="0.3">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2.75" customHeight="1" x14ac:dyDescent="0.3">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2.75" customHeight="1" x14ac:dyDescent="0.3">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2.75" customHeight="1" x14ac:dyDescent="0.3">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2.75" customHeight="1" x14ac:dyDescent="0.3">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2.75" customHeight="1" x14ac:dyDescent="0.3">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2.75" customHeight="1" x14ac:dyDescent="0.3">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2.75" customHeight="1" x14ac:dyDescent="0.3">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2.75" customHeight="1" x14ac:dyDescent="0.3">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2.75" customHeight="1" x14ac:dyDescent="0.3">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2.75" customHeight="1" x14ac:dyDescent="0.3">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2.75" customHeight="1" x14ac:dyDescent="0.3">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2.75" customHeight="1" x14ac:dyDescent="0.3">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2.75" customHeight="1" x14ac:dyDescent="0.3">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2.75" customHeight="1" x14ac:dyDescent="0.3">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2.75" customHeight="1" x14ac:dyDescent="0.3">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2.75" customHeight="1" x14ac:dyDescent="0.3">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2.75" customHeight="1" x14ac:dyDescent="0.3">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2.75" customHeight="1" x14ac:dyDescent="0.3">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2.75" customHeight="1" x14ac:dyDescent="0.3">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2.75" customHeight="1" x14ac:dyDescent="0.3">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2.75" customHeight="1" x14ac:dyDescent="0.3">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2.75" customHeight="1" x14ac:dyDescent="0.3">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2.75" customHeight="1" x14ac:dyDescent="0.3">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2.75" customHeight="1" x14ac:dyDescent="0.3">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2.75" customHeight="1" x14ac:dyDescent="0.3">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2.75" customHeight="1" x14ac:dyDescent="0.3">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2.75" customHeight="1" x14ac:dyDescent="0.3">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2.75" customHeight="1" x14ac:dyDescent="0.3">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2.75" customHeight="1" x14ac:dyDescent="0.3">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2.75" customHeight="1" x14ac:dyDescent="0.3">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2.75" customHeight="1" x14ac:dyDescent="0.3">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2.75" customHeight="1" x14ac:dyDescent="0.3">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2.75" customHeight="1" x14ac:dyDescent="0.3">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2.75" customHeight="1" x14ac:dyDescent="0.3">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2.75" customHeight="1" x14ac:dyDescent="0.3">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2.75" customHeight="1" x14ac:dyDescent="0.3">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2.75" customHeight="1" x14ac:dyDescent="0.3">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2.75" customHeight="1" x14ac:dyDescent="0.3">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2.75" customHeight="1" x14ac:dyDescent="0.3">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2.75" customHeight="1" x14ac:dyDescent="0.3">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2.75" customHeight="1" x14ac:dyDescent="0.3">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2.75" customHeight="1" x14ac:dyDescent="0.3">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2.75" customHeight="1" x14ac:dyDescent="0.3">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2.75" customHeight="1" x14ac:dyDescent="0.3">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2.75" customHeight="1" x14ac:dyDescent="0.3">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2.75" customHeight="1" x14ac:dyDescent="0.3">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2.75" customHeight="1" x14ac:dyDescent="0.3">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2.75" customHeight="1" x14ac:dyDescent="0.3">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2.75" customHeight="1" x14ac:dyDescent="0.3">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2.75" customHeight="1" x14ac:dyDescent="0.3">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2.75" customHeight="1" x14ac:dyDescent="0.3">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2.75" customHeight="1" x14ac:dyDescent="0.3">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2.75" customHeight="1" x14ac:dyDescent="0.3">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2.75" customHeight="1" x14ac:dyDescent="0.3">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2.75" customHeight="1" x14ac:dyDescent="0.3">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2.75" customHeight="1" x14ac:dyDescent="0.3">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2.75" customHeight="1" x14ac:dyDescent="0.3">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2.75" customHeight="1" x14ac:dyDescent="0.3">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2.75" customHeight="1" x14ac:dyDescent="0.3">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2.75" customHeight="1" x14ac:dyDescent="0.3">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2.75" customHeight="1" x14ac:dyDescent="0.3">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2.75" customHeight="1" x14ac:dyDescent="0.3">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2.75" customHeight="1" x14ac:dyDescent="0.3">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2.75" customHeight="1" x14ac:dyDescent="0.3">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2.75" customHeight="1" x14ac:dyDescent="0.3">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2.75" customHeight="1" x14ac:dyDescent="0.3">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2.75" customHeight="1" x14ac:dyDescent="0.3">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2.75" customHeight="1" x14ac:dyDescent="0.3">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2.75" customHeight="1" x14ac:dyDescent="0.3">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2.75" customHeight="1" x14ac:dyDescent="0.3">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2.75" customHeight="1" x14ac:dyDescent="0.3">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2.75" customHeight="1" x14ac:dyDescent="0.3">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2.75" customHeight="1" x14ac:dyDescent="0.3">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2.75" customHeight="1" x14ac:dyDescent="0.3">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2.75" customHeight="1" x14ac:dyDescent="0.3">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2.75" customHeight="1" x14ac:dyDescent="0.3">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2.75" customHeight="1" x14ac:dyDescent="0.3">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2.75" customHeight="1" x14ac:dyDescent="0.3">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2.75" customHeight="1" x14ac:dyDescent="0.3">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2.75" customHeight="1" x14ac:dyDescent="0.3">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2.75" customHeight="1" x14ac:dyDescent="0.3">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2.75" customHeight="1" x14ac:dyDescent="0.3">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2.75" customHeight="1" x14ac:dyDescent="0.3">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2.75" customHeight="1" x14ac:dyDescent="0.3">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2.75" customHeight="1" x14ac:dyDescent="0.3">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2.75" customHeight="1" x14ac:dyDescent="0.3">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2.75" customHeight="1" x14ac:dyDescent="0.3">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2.75" customHeight="1" x14ac:dyDescent="0.3">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2.75" customHeight="1" x14ac:dyDescent="0.3">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2.75" customHeight="1" x14ac:dyDescent="0.3">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2.75" customHeight="1" x14ac:dyDescent="0.3">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2.75" customHeight="1" x14ac:dyDescent="0.3">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2.75" customHeight="1" x14ac:dyDescent="0.3">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2.75" customHeight="1" x14ac:dyDescent="0.3">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2.75" customHeight="1" x14ac:dyDescent="0.3">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2.75" customHeight="1" x14ac:dyDescent="0.3">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2.75" customHeight="1" x14ac:dyDescent="0.3">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2.75" customHeight="1" x14ac:dyDescent="0.3">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2.75" customHeight="1" x14ac:dyDescent="0.3">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2.75" customHeight="1" x14ac:dyDescent="0.3">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2.75" customHeight="1" x14ac:dyDescent="0.3">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2.75" customHeight="1" x14ac:dyDescent="0.3">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2.75" customHeight="1" x14ac:dyDescent="0.3">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2.75" customHeight="1" x14ac:dyDescent="0.3">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2.75" customHeight="1" x14ac:dyDescent="0.3">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2.75" customHeight="1" x14ac:dyDescent="0.3">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2.75" customHeight="1" x14ac:dyDescent="0.3">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2.75" customHeight="1" x14ac:dyDescent="0.3">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2.75" customHeight="1" x14ac:dyDescent="0.3">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2.75" customHeight="1" x14ac:dyDescent="0.3">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2.75" customHeight="1" x14ac:dyDescent="0.3">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2.75" customHeight="1" x14ac:dyDescent="0.3">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2.75" customHeight="1" x14ac:dyDescent="0.3">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2.75" customHeight="1" x14ac:dyDescent="0.3">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2.75" customHeight="1" x14ac:dyDescent="0.3">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2.75" customHeight="1" x14ac:dyDescent="0.3">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2.75" customHeight="1" x14ac:dyDescent="0.3">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2.75" customHeight="1" x14ac:dyDescent="0.3">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2.75" customHeight="1" x14ac:dyDescent="0.3">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2.75" customHeight="1" x14ac:dyDescent="0.3">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2.75" customHeight="1" x14ac:dyDescent="0.3">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2.75" customHeight="1" x14ac:dyDescent="0.3">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2.75" customHeight="1" x14ac:dyDescent="0.3">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2.75" customHeight="1" x14ac:dyDescent="0.3">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2.75" customHeight="1" x14ac:dyDescent="0.3">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2.75" customHeight="1" x14ac:dyDescent="0.3">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2.75" customHeight="1" x14ac:dyDescent="0.3">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2.75" customHeight="1" x14ac:dyDescent="0.3">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2.75" customHeight="1" x14ac:dyDescent="0.3">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2.75" customHeight="1" x14ac:dyDescent="0.3">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2.75" customHeight="1" x14ac:dyDescent="0.3">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2.75" customHeight="1" x14ac:dyDescent="0.3">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2.75" customHeight="1" x14ac:dyDescent="0.3">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2.75" customHeight="1" x14ac:dyDescent="0.3">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2.75" customHeight="1" x14ac:dyDescent="0.3">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2.75" customHeight="1" x14ac:dyDescent="0.3">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2.75" customHeight="1" x14ac:dyDescent="0.3">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2.75" customHeight="1" x14ac:dyDescent="0.3">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2.75" customHeight="1" x14ac:dyDescent="0.3">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2.75" customHeight="1" x14ac:dyDescent="0.3">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2.75" customHeight="1" x14ac:dyDescent="0.3">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2.75" customHeight="1" x14ac:dyDescent="0.3">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2.75" customHeight="1" x14ac:dyDescent="0.3">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2.75" customHeight="1" x14ac:dyDescent="0.3">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2.75" customHeight="1" x14ac:dyDescent="0.3">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2.75" customHeight="1" x14ac:dyDescent="0.3">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2.75" customHeight="1" x14ac:dyDescent="0.3">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2.75" customHeight="1" x14ac:dyDescent="0.3">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2.75" customHeight="1" x14ac:dyDescent="0.3">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2.75" customHeight="1" x14ac:dyDescent="0.3">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2.75" customHeight="1" x14ac:dyDescent="0.3">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2.75" customHeight="1" x14ac:dyDescent="0.3">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2.75" customHeight="1" x14ac:dyDescent="0.3">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2.75" customHeight="1" x14ac:dyDescent="0.3">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2.75" customHeight="1" x14ac:dyDescent="0.3">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2.75" customHeight="1" x14ac:dyDescent="0.3">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2.75" customHeight="1" x14ac:dyDescent="0.3">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2.75" customHeight="1" x14ac:dyDescent="0.3">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2.75" customHeight="1" x14ac:dyDescent="0.3">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2.75" customHeight="1" x14ac:dyDescent="0.3">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2.75" customHeight="1" x14ac:dyDescent="0.3">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2.75" customHeight="1" x14ac:dyDescent="0.3">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2.75" customHeight="1" x14ac:dyDescent="0.3">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2.75" customHeight="1" x14ac:dyDescent="0.3">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2.75" customHeight="1" x14ac:dyDescent="0.3">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2.75" customHeight="1" x14ac:dyDescent="0.3">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2.75" customHeight="1" x14ac:dyDescent="0.3">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2.75" customHeight="1" x14ac:dyDescent="0.3">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2.75" customHeight="1" x14ac:dyDescent="0.3">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2.75" customHeight="1" x14ac:dyDescent="0.3">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2.75" customHeight="1" x14ac:dyDescent="0.3">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2.75" customHeight="1" x14ac:dyDescent="0.3">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2.75" customHeight="1" x14ac:dyDescent="0.3">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2.75" customHeight="1" x14ac:dyDescent="0.3">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2.75" customHeight="1" x14ac:dyDescent="0.3">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2.75" customHeight="1" x14ac:dyDescent="0.3">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2.75" customHeight="1" x14ac:dyDescent="0.3">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2.75" customHeight="1" x14ac:dyDescent="0.3">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2.75" customHeight="1" x14ac:dyDescent="0.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2.75" customHeight="1" x14ac:dyDescent="0.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2.75" customHeight="1" x14ac:dyDescent="0.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2.75" customHeight="1" x14ac:dyDescent="0.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2.75" customHeight="1" x14ac:dyDescent="0.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2.75" customHeight="1" x14ac:dyDescent="0.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2.75" customHeight="1" x14ac:dyDescent="0.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2.75" customHeight="1" x14ac:dyDescent="0.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2.75" customHeight="1" x14ac:dyDescent="0.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2.75" customHeight="1" x14ac:dyDescent="0.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2.75" customHeight="1" x14ac:dyDescent="0.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2.75" customHeight="1" x14ac:dyDescent="0.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2.75" customHeight="1" x14ac:dyDescent="0.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2.75" customHeight="1" x14ac:dyDescent="0.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2.75" customHeight="1" x14ac:dyDescent="0.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2.75" customHeight="1" x14ac:dyDescent="0.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2.75" customHeight="1" x14ac:dyDescent="0.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2.75" customHeight="1" x14ac:dyDescent="0.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2.75" customHeight="1" x14ac:dyDescent="0.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2.75" customHeight="1" x14ac:dyDescent="0.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2.75" customHeight="1" x14ac:dyDescent="0.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2.75" customHeight="1" x14ac:dyDescent="0.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2.75" customHeight="1" x14ac:dyDescent="0.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2.75" customHeight="1" x14ac:dyDescent="0.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2.75" customHeight="1" x14ac:dyDescent="0.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2.75" customHeight="1" x14ac:dyDescent="0.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2.75" customHeight="1" x14ac:dyDescent="0.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2.75" customHeight="1" x14ac:dyDescent="0.3">
      <c r="A318" s="30"/>
    </row>
    <row r="319" spans="1:26" ht="12.75" customHeight="1" x14ac:dyDescent="0.3">
      <c r="A319" s="30"/>
    </row>
    <row r="320" spans="1:26" ht="12.75" customHeight="1" x14ac:dyDescent="0.3">
      <c r="A320" s="30"/>
    </row>
    <row r="321" spans="1:1" ht="12.75" customHeight="1" x14ac:dyDescent="0.3">
      <c r="A321" s="30"/>
    </row>
    <row r="322" spans="1:1" ht="12.75" customHeight="1" x14ac:dyDescent="0.3">
      <c r="A322" s="30"/>
    </row>
    <row r="323" spans="1:1" ht="12.75" customHeight="1" x14ac:dyDescent="0.3">
      <c r="A323" s="30"/>
    </row>
    <row r="324" spans="1:1" ht="12.75" customHeight="1" x14ac:dyDescent="0.3">
      <c r="A324" s="30"/>
    </row>
    <row r="325" spans="1:1" ht="12.75" customHeight="1" x14ac:dyDescent="0.3">
      <c r="A325" s="30"/>
    </row>
    <row r="326" spans="1:1" ht="12.75" customHeight="1" x14ac:dyDescent="0.3">
      <c r="A326" s="30"/>
    </row>
    <row r="327" spans="1:1" ht="12.75" customHeight="1" x14ac:dyDescent="0.3">
      <c r="A327" s="30"/>
    </row>
    <row r="328" spans="1:1" ht="12.75" customHeight="1" x14ac:dyDescent="0.3">
      <c r="A328" s="30"/>
    </row>
    <row r="329" spans="1:1" ht="12.75" customHeight="1" x14ac:dyDescent="0.3">
      <c r="A329" s="30"/>
    </row>
    <row r="330" spans="1:1" ht="12.75" customHeight="1" x14ac:dyDescent="0.3">
      <c r="A330" s="30"/>
    </row>
    <row r="331" spans="1:1" ht="12.75" customHeight="1" x14ac:dyDescent="0.3">
      <c r="A331" s="30"/>
    </row>
    <row r="332" spans="1:1" ht="12.75" customHeight="1" x14ac:dyDescent="0.3">
      <c r="A332" s="30"/>
    </row>
    <row r="333" spans="1:1" ht="12.75" customHeight="1" x14ac:dyDescent="0.3">
      <c r="A333" s="30"/>
    </row>
    <row r="334" spans="1:1" ht="12.75" customHeight="1" x14ac:dyDescent="0.3">
      <c r="A334" s="30"/>
    </row>
    <row r="335" spans="1:1" ht="12.75" customHeight="1" x14ac:dyDescent="0.3">
      <c r="A335" s="30"/>
    </row>
    <row r="336" spans="1:1" ht="12.75" customHeight="1" x14ac:dyDescent="0.3">
      <c r="A336" s="30"/>
    </row>
    <row r="337" spans="1:1" ht="12.75" customHeight="1" x14ac:dyDescent="0.3">
      <c r="A337" s="30"/>
    </row>
    <row r="338" spans="1:1" ht="12.75" customHeight="1" x14ac:dyDescent="0.3">
      <c r="A338" s="30"/>
    </row>
    <row r="339" spans="1:1" ht="12.75" customHeight="1" x14ac:dyDescent="0.3">
      <c r="A339" s="30"/>
    </row>
    <row r="340" spans="1:1" ht="12.75" customHeight="1" x14ac:dyDescent="0.3">
      <c r="A340" s="30"/>
    </row>
    <row r="341" spans="1:1" ht="12.75" customHeight="1" x14ac:dyDescent="0.3">
      <c r="A341" s="30"/>
    </row>
    <row r="342" spans="1:1" ht="12.75" customHeight="1" x14ac:dyDescent="0.3">
      <c r="A342" s="30"/>
    </row>
    <row r="343" spans="1:1" ht="12.75" customHeight="1" x14ac:dyDescent="0.3">
      <c r="A343" s="30"/>
    </row>
    <row r="344" spans="1:1" ht="12.75" customHeight="1" x14ac:dyDescent="0.3">
      <c r="A344" s="30"/>
    </row>
    <row r="345" spans="1:1" ht="12.75" customHeight="1" x14ac:dyDescent="0.3">
      <c r="A345" s="30"/>
    </row>
    <row r="346" spans="1:1" ht="12.75" customHeight="1" x14ac:dyDescent="0.3">
      <c r="A346" s="30"/>
    </row>
    <row r="347" spans="1:1" ht="12.75" customHeight="1" x14ac:dyDescent="0.3">
      <c r="A347" s="30"/>
    </row>
    <row r="348" spans="1:1" ht="12.75" customHeight="1" x14ac:dyDescent="0.3">
      <c r="A348" s="30"/>
    </row>
    <row r="349" spans="1:1" ht="12.75" customHeight="1" x14ac:dyDescent="0.3">
      <c r="A349" s="30"/>
    </row>
    <row r="350" spans="1:1" ht="12.75" customHeight="1" x14ac:dyDescent="0.3">
      <c r="A350" s="30"/>
    </row>
    <row r="351" spans="1:1" ht="12.75" customHeight="1" x14ac:dyDescent="0.3">
      <c r="A351" s="30"/>
    </row>
    <row r="352" spans="1:1" ht="12.75" customHeight="1" x14ac:dyDescent="0.3">
      <c r="A352" s="30"/>
    </row>
    <row r="353" spans="1:1" ht="12.75" customHeight="1" x14ac:dyDescent="0.3">
      <c r="A353" s="30"/>
    </row>
    <row r="354" spans="1:1" ht="12.75" customHeight="1" x14ac:dyDescent="0.3">
      <c r="A354" s="30"/>
    </row>
    <row r="355" spans="1:1" ht="12.75" customHeight="1" x14ac:dyDescent="0.3">
      <c r="A355" s="30"/>
    </row>
    <row r="356" spans="1:1" ht="12.75" customHeight="1" x14ac:dyDescent="0.3">
      <c r="A356" s="30"/>
    </row>
    <row r="357" spans="1:1" ht="12.75" customHeight="1" x14ac:dyDescent="0.3">
      <c r="A357" s="30"/>
    </row>
    <row r="358" spans="1:1" ht="12.75" customHeight="1" x14ac:dyDescent="0.3">
      <c r="A358" s="30"/>
    </row>
    <row r="359" spans="1:1" ht="12.75" customHeight="1" x14ac:dyDescent="0.3">
      <c r="A359" s="30"/>
    </row>
    <row r="360" spans="1:1" ht="12.75" customHeight="1" x14ac:dyDescent="0.3">
      <c r="A360" s="30"/>
    </row>
    <row r="361" spans="1:1" ht="12.75" customHeight="1" x14ac:dyDescent="0.3">
      <c r="A361" s="30"/>
    </row>
    <row r="362" spans="1:1" ht="12.75" customHeight="1" x14ac:dyDescent="0.3">
      <c r="A362" s="30"/>
    </row>
    <row r="363" spans="1:1" ht="12.75" customHeight="1" x14ac:dyDescent="0.3">
      <c r="A363" s="30"/>
    </row>
    <row r="364" spans="1:1" ht="12.75" customHeight="1" x14ac:dyDescent="0.3">
      <c r="A364" s="30"/>
    </row>
    <row r="365" spans="1:1" ht="12.75" customHeight="1" x14ac:dyDescent="0.3">
      <c r="A365" s="30"/>
    </row>
    <row r="366" spans="1:1" ht="12.75" customHeight="1" x14ac:dyDescent="0.3">
      <c r="A366" s="30"/>
    </row>
    <row r="367" spans="1:1" ht="12.75" customHeight="1" x14ac:dyDescent="0.3">
      <c r="A367" s="30"/>
    </row>
    <row r="368" spans="1:1" ht="12.75" customHeight="1" x14ac:dyDescent="0.3">
      <c r="A368" s="30"/>
    </row>
    <row r="369" spans="1:1" ht="12.75" customHeight="1" x14ac:dyDescent="0.3">
      <c r="A369" s="30"/>
    </row>
    <row r="370" spans="1:1" ht="12.75" customHeight="1" x14ac:dyDescent="0.3">
      <c r="A370" s="30"/>
    </row>
    <row r="371" spans="1:1" ht="12.75" customHeight="1" x14ac:dyDescent="0.3">
      <c r="A371" s="30"/>
    </row>
    <row r="372" spans="1:1" ht="12.75" customHeight="1" x14ac:dyDescent="0.3">
      <c r="A372" s="30"/>
    </row>
    <row r="373" spans="1:1" ht="12.75" customHeight="1" x14ac:dyDescent="0.3">
      <c r="A373" s="30"/>
    </row>
    <row r="374" spans="1:1" ht="12.75" customHeight="1" x14ac:dyDescent="0.3">
      <c r="A374" s="30"/>
    </row>
    <row r="375" spans="1:1" ht="12.75" customHeight="1" x14ac:dyDescent="0.3">
      <c r="A375" s="30"/>
    </row>
    <row r="376" spans="1:1" ht="12.75" customHeight="1" x14ac:dyDescent="0.3">
      <c r="A376" s="30"/>
    </row>
    <row r="377" spans="1:1" ht="12.75" customHeight="1" x14ac:dyDescent="0.3">
      <c r="A377" s="30"/>
    </row>
    <row r="378" spans="1:1" ht="12.75" customHeight="1" x14ac:dyDescent="0.3">
      <c r="A378" s="30"/>
    </row>
    <row r="379" spans="1:1" ht="12.75" customHeight="1" x14ac:dyDescent="0.3">
      <c r="A379" s="30"/>
    </row>
    <row r="380" spans="1:1" ht="12.75" customHeight="1" x14ac:dyDescent="0.3">
      <c r="A380" s="30"/>
    </row>
    <row r="381" spans="1:1" ht="12.75" customHeight="1" x14ac:dyDescent="0.3">
      <c r="A381" s="30"/>
    </row>
    <row r="382" spans="1:1" ht="12.75" customHeight="1" x14ac:dyDescent="0.3">
      <c r="A382" s="30"/>
    </row>
    <row r="383" spans="1:1" ht="12.75" customHeight="1" x14ac:dyDescent="0.3">
      <c r="A383" s="30"/>
    </row>
    <row r="384" spans="1:1" ht="12.75" customHeight="1" x14ac:dyDescent="0.3">
      <c r="A384" s="30"/>
    </row>
    <row r="385" spans="1:1" ht="12.75" customHeight="1" x14ac:dyDescent="0.3">
      <c r="A385" s="30"/>
    </row>
    <row r="386" spans="1:1" ht="12.75" customHeight="1" x14ac:dyDescent="0.3">
      <c r="A386" s="30"/>
    </row>
    <row r="387" spans="1:1" ht="12.75" customHeight="1" x14ac:dyDescent="0.3">
      <c r="A387" s="30"/>
    </row>
    <row r="388" spans="1:1" ht="12.75" customHeight="1" x14ac:dyDescent="0.3">
      <c r="A388" s="30"/>
    </row>
    <row r="389" spans="1:1" ht="12.75" customHeight="1" x14ac:dyDescent="0.3">
      <c r="A389" s="30"/>
    </row>
    <row r="390" spans="1:1" ht="12.75" customHeight="1" x14ac:dyDescent="0.3">
      <c r="A390" s="30"/>
    </row>
    <row r="391" spans="1:1" ht="12.75" customHeight="1" x14ac:dyDescent="0.3">
      <c r="A391" s="30"/>
    </row>
    <row r="392" spans="1:1" ht="12.75" customHeight="1" x14ac:dyDescent="0.3">
      <c r="A392" s="30"/>
    </row>
    <row r="393" spans="1:1" ht="12.75" customHeight="1" x14ac:dyDescent="0.3">
      <c r="A393" s="30"/>
    </row>
    <row r="394" spans="1:1" ht="12.75" customHeight="1" x14ac:dyDescent="0.3">
      <c r="A394" s="30"/>
    </row>
    <row r="395" spans="1:1" ht="12.75" customHeight="1" x14ac:dyDescent="0.3">
      <c r="A395" s="30"/>
    </row>
    <row r="396" spans="1:1" ht="12.75" customHeight="1" x14ac:dyDescent="0.3">
      <c r="A396" s="30"/>
    </row>
    <row r="397" spans="1:1" ht="12.75" customHeight="1" x14ac:dyDescent="0.3">
      <c r="A397" s="30"/>
    </row>
    <row r="398" spans="1:1" ht="12.75" customHeight="1" x14ac:dyDescent="0.3">
      <c r="A398" s="30"/>
    </row>
    <row r="399" spans="1:1" ht="12.75" customHeight="1" x14ac:dyDescent="0.3">
      <c r="A399" s="30"/>
    </row>
    <row r="400" spans="1:1" ht="12.75" customHeight="1" x14ac:dyDescent="0.3">
      <c r="A400" s="30"/>
    </row>
    <row r="401" spans="1:1" ht="12.75" customHeight="1" x14ac:dyDescent="0.3">
      <c r="A401" s="30"/>
    </row>
    <row r="402" spans="1:1" ht="12.75" customHeight="1" x14ac:dyDescent="0.3">
      <c r="A402" s="30"/>
    </row>
    <row r="403" spans="1:1" ht="12.75" customHeight="1" x14ac:dyDescent="0.3">
      <c r="A403" s="30"/>
    </row>
    <row r="404" spans="1:1" ht="12.75" customHeight="1" x14ac:dyDescent="0.3">
      <c r="A404" s="30"/>
    </row>
    <row r="405" spans="1:1" ht="12.75" customHeight="1" x14ac:dyDescent="0.3">
      <c r="A405" s="30"/>
    </row>
    <row r="406" spans="1:1" ht="12.75" customHeight="1" x14ac:dyDescent="0.3">
      <c r="A406" s="30"/>
    </row>
    <row r="407" spans="1:1" ht="12.75" customHeight="1" x14ac:dyDescent="0.3">
      <c r="A407" s="30"/>
    </row>
    <row r="408" spans="1:1" ht="12.75" customHeight="1" x14ac:dyDescent="0.3">
      <c r="A408" s="30"/>
    </row>
    <row r="409" spans="1:1" ht="12.75" customHeight="1" x14ac:dyDescent="0.3">
      <c r="A409" s="30"/>
    </row>
    <row r="410" spans="1:1" ht="12.75" customHeight="1" x14ac:dyDescent="0.3">
      <c r="A410" s="30"/>
    </row>
    <row r="411" spans="1:1" ht="12.75" customHeight="1" x14ac:dyDescent="0.3">
      <c r="A411" s="30"/>
    </row>
    <row r="412" spans="1:1" ht="12.75" customHeight="1" x14ac:dyDescent="0.3">
      <c r="A412" s="30"/>
    </row>
    <row r="413" spans="1:1" ht="12.75" customHeight="1" x14ac:dyDescent="0.3">
      <c r="A413" s="30"/>
    </row>
    <row r="414" spans="1:1" ht="12.75" customHeight="1" x14ac:dyDescent="0.3">
      <c r="A414" s="30"/>
    </row>
    <row r="415" spans="1:1" ht="12.75" customHeight="1" x14ac:dyDescent="0.3">
      <c r="A415" s="30"/>
    </row>
    <row r="416" spans="1:1" ht="12.75" customHeight="1" x14ac:dyDescent="0.3">
      <c r="A416" s="30"/>
    </row>
    <row r="417" spans="1:1" ht="12.75" customHeight="1" x14ac:dyDescent="0.3">
      <c r="A417" s="30"/>
    </row>
    <row r="418" spans="1:1" ht="12.75" customHeight="1" x14ac:dyDescent="0.3">
      <c r="A418" s="30"/>
    </row>
    <row r="419" spans="1:1" ht="12.75" customHeight="1" x14ac:dyDescent="0.3">
      <c r="A419" s="30"/>
    </row>
    <row r="420" spans="1:1" ht="12.75" customHeight="1" x14ac:dyDescent="0.3">
      <c r="A420" s="30"/>
    </row>
    <row r="421" spans="1:1" ht="12.75" customHeight="1" x14ac:dyDescent="0.3">
      <c r="A421" s="30"/>
    </row>
    <row r="422" spans="1:1" ht="12.75" customHeight="1" x14ac:dyDescent="0.3">
      <c r="A422" s="30"/>
    </row>
    <row r="423" spans="1:1" ht="12.75" customHeight="1" x14ac:dyDescent="0.3">
      <c r="A423" s="30"/>
    </row>
    <row r="424" spans="1:1" ht="12.75" customHeight="1" x14ac:dyDescent="0.3">
      <c r="A424" s="30"/>
    </row>
    <row r="425" spans="1:1" ht="12.75" customHeight="1" x14ac:dyDescent="0.3">
      <c r="A425" s="30"/>
    </row>
    <row r="426" spans="1:1" ht="12.75" customHeight="1" x14ac:dyDescent="0.3">
      <c r="A426" s="30"/>
    </row>
    <row r="427" spans="1:1" ht="12.75" customHeight="1" x14ac:dyDescent="0.3">
      <c r="A427" s="30"/>
    </row>
    <row r="428" spans="1:1" ht="12.75" customHeight="1" x14ac:dyDescent="0.3">
      <c r="A428" s="30"/>
    </row>
    <row r="429" spans="1:1" ht="12.75" customHeight="1" x14ac:dyDescent="0.3">
      <c r="A429" s="30"/>
    </row>
    <row r="430" spans="1:1" ht="12.75" customHeight="1" x14ac:dyDescent="0.3">
      <c r="A430" s="30"/>
    </row>
    <row r="431" spans="1:1" ht="12.75" customHeight="1" x14ac:dyDescent="0.3">
      <c r="A431" s="30"/>
    </row>
    <row r="432" spans="1:1" ht="12.75" customHeight="1" x14ac:dyDescent="0.3">
      <c r="A432" s="30"/>
    </row>
    <row r="433" spans="1:1" ht="12.75" customHeight="1" x14ac:dyDescent="0.3">
      <c r="A433" s="30"/>
    </row>
    <row r="434" spans="1:1" ht="12.75" customHeight="1" x14ac:dyDescent="0.3">
      <c r="A434" s="30"/>
    </row>
    <row r="435" spans="1:1" ht="12.75" customHeight="1" x14ac:dyDescent="0.3">
      <c r="A435" s="30"/>
    </row>
    <row r="436" spans="1:1" ht="12.75" customHeight="1" x14ac:dyDescent="0.3">
      <c r="A436" s="30"/>
    </row>
    <row r="437" spans="1:1" ht="12.75" customHeight="1" x14ac:dyDescent="0.3">
      <c r="A437" s="30"/>
    </row>
    <row r="438" spans="1:1" ht="12.75" customHeight="1" x14ac:dyDescent="0.3">
      <c r="A438" s="30"/>
    </row>
    <row r="439" spans="1:1" ht="12.75" customHeight="1" x14ac:dyDescent="0.3">
      <c r="A439" s="30"/>
    </row>
    <row r="440" spans="1:1" ht="12.75" customHeight="1" x14ac:dyDescent="0.3">
      <c r="A440" s="30"/>
    </row>
    <row r="441" spans="1:1" ht="12.75" customHeight="1" x14ac:dyDescent="0.3">
      <c r="A441" s="30"/>
    </row>
    <row r="442" spans="1:1" ht="12.75" customHeight="1" x14ac:dyDescent="0.3">
      <c r="A442" s="30"/>
    </row>
    <row r="443" spans="1:1" ht="12.75" customHeight="1" x14ac:dyDescent="0.3">
      <c r="A443" s="30"/>
    </row>
    <row r="444" spans="1:1" ht="12.75" customHeight="1" x14ac:dyDescent="0.3">
      <c r="A444" s="30"/>
    </row>
    <row r="445" spans="1:1" ht="12.75" customHeight="1" x14ac:dyDescent="0.3">
      <c r="A445" s="30"/>
    </row>
    <row r="446" spans="1:1" ht="12.75" customHeight="1" x14ac:dyDescent="0.3">
      <c r="A446" s="30"/>
    </row>
    <row r="447" spans="1:1" ht="12.75" customHeight="1" x14ac:dyDescent="0.3">
      <c r="A447" s="30"/>
    </row>
    <row r="448" spans="1:1" ht="12.75" customHeight="1" x14ac:dyDescent="0.3">
      <c r="A448" s="30"/>
    </row>
    <row r="449" spans="1:1" ht="12.75" customHeight="1" x14ac:dyDescent="0.3">
      <c r="A449" s="30"/>
    </row>
    <row r="450" spans="1:1" ht="12.75" customHeight="1" x14ac:dyDescent="0.3">
      <c r="A450" s="30"/>
    </row>
    <row r="451" spans="1:1" ht="12.75" customHeight="1" x14ac:dyDescent="0.3">
      <c r="A451" s="30"/>
    </row>
    <row r="452" spans="1:1" ht="12.75" customHeight="1" x14ac:dyDescent="0.3">
      <c r="A452" s="30"/>
    </row>
    <row r="453" spans="1:1" ht="12.75" customHeight="1" x14ac:dyDescent="0.3">
      <c r="A453" s="30"/>
    </row>
    <row r="454" spans="1:1" ht="12.75" customHeight="1" x14ac:dyDescent="0.3">
      <c r="A454" s="30"/>
    </row>
    <row r="455" spans="1:1" ht="12.75" customHeight="1" x14ac:dyDescent="0.3">
      <c r="A455" s="30"/>
    </row>
    <row r="456" spans="1:1" ht="12.75" customHeight="1" x14ac:dyDescent="0.3">
      <c r="A456" s="30"/>
    </row>
    <row r="457" spans="1:1" ht="12.75" customHeight="1" x14ac:dyDescent="0.3">
      <c r="A457" s="30"/>
    </row>
    <row r="458" spans="1:1" ht="12.75" customHeight="1" x14ac:dyDescent="0.3">
      <c r="A458" s="30"/>
    </row>
    <row r="459" spans="1:1" ht="12.75" customHeight="1" x14ac:dyDescent="0.3">
      <c r="A459" s="30"/>
    </row>
    <row r="460" spans="1:1" ht="12.75" customHeight="1" x14ac:dyDescent="0.3">
      <c r="A460" s="30"/>
    </row>
    <row r="461" spans="1:1" ht="12.75" customHeight="1" x14ac:dyDescent="0.3">
      <c r="A461" s="30"/>
    </row>
    <row r="462" spans="1:1" ht="12.75" customHeight="1" x14ac:dyDescent="0.3">
      <c r="A462" s="30"/>
    </row>
    <row r="463" spans="1:1" ht="12.75" customHeight="1" x14ac:dyDescent="0.3">
      <c r="A463" s="30"/>
    </row>
    <row r="464" spans="1:1" ht="12.75" customHeight="1" x14ac:dyDescent="0.3">
      <c r="A464" s="30"/>
    </row>
    <row r="465" spans="1:1" ht="12.75" customHeight="1" x14ac:dyDescent="0.3">
      <c r="A465" s="30"/>
    </row>
    <row r="466" spans="1:1" ht="12.75" customHeight="1" x14ac:dyDescent="0.3">
      <c r="A466" s="30"/>
    </row>
    <row r="467" spans="1:1" ht="12.75" customHeight="1" x14ac:dyDescent="0.3">
      <c r="A467" s="30"/>
    </row>
    <row r="468" spans="1:1" ht="12.75" customHeight="1" x14ac:dyDescent="0.3">
      <c r="A468" s="30"/>
    </row>
    <row r="469" spans="1:1" ht="12.75" customHeight="1" x14ac:dyDescent="0.3">
      <c r="A469" s="30"/>
    </row>
    <row r="470" spans="1:1" ht="12.75" customHeight="1" x14ac:dyDescent="0.3">
      <c r="A470" s="30"/>
    </row>
    <row r="471" spans="1:1" ht="12.75" customHeight="1" x14ac:dyDescent="0.3">
      <c r="A471" s="30"/>
    </row>
    <row r="472" spans="1:1" ht="12.75" customHeight="1" x14ac:dyDescent="0.3">
      <c r="A472" s="30"/>
    </row>
    <row r="473" spans="1:1" ht="12.75" customHeight="1" x14ac:dyDescent="0.3">
      <c r="A473" s="30"/>
    </row>
    <row r="474" spans="1:1" ht="12.75" customHeight="1" x14ac:dyDescent="0.3">
      <c r="A474" s="30"/>
    </row>
    <row r="475" spans="1:1" ht="12.75" customHeight="1" x14ac:dyDescent="0.3">
      <c r="A475" s="30"/>
    </row>
    <row r="476" spans="1:1" ht="12.75" customHeight="1" x14ac:dyDescent="0.3">
      <c r="A476" s="30"/>
    </row>
    <row r="477" spans="1:1" ht="12.75" customHeight="1" x14ac:dyDescent="0.3">
      <c r="A477" s="30"/>
    </row>
    <row r="478" spans="1:1" ht="12.75" customHeight="1" x14ac:dyDescent="0.3">
      <c r="A478" s="30"/>
    </row>
    <row r="479" spans="1:1" ht="12.75" customHeight="1" x14ac:dyDescent="0.3">
      <c r="A479" s="30"/>
    </row>
    <row r="480" spans="1:1" ht="12.75" customHeight="1" x14ac:dyDescent="0.3">
      <c r="A480" s="30"/>
    </row>
    <row r="481" spans="1:1" ht="12.75" customHeight="1" x14ac:dyDescent="0.3">
      <c r="A481" s="30"/>
    </row>
    <row r="482" spans="1:1" ht="12.75" customHeight="1" x14ac:dyDescent="0.3">
      <c r="A482" s="30"/>
    </row>
    <row r="483" spans="1:1" ht="12.75" customHeight="1" x14ac:dyDescent="0.3">
      <c r="A483" s="30"/>
    </row>
    <row r="484" spans="1:1" ht="12.75" customHeight="1" x14ac:dyDescent="0.3">
      <c r="A484" s="30"/>
    </row>
    <row r="485" spans="1:1" ht="12.75" customHeight="1" x14ac:dyDescent="0.3">
      <c r="A485" s="30"/>
    </row>
    <row r="486" spans="1:1" ht="12.75" customHeight="1" x14ac:dyDescent="0.3">
      <c r="A486" s="30"/>
    </row>
    <row r="487" spans="1:1" ht="12.75" customHeight="1" x14ac:dyDescent="0.3">
      <c r="A487" s="30"/>
    </row>
    <row r="488" spans="1:1" ht="12.75" customHeight="1" x14ac:dyDescent="0.3">
      <c r="A488" s="30"/>
    </row>
    <row r="489" spans="1:1" ht="12.75" customHeight="1" x14ac:dyDescent="0.3">
      <c r="A489" s="30"/>
    </row>
    <row r="490" spans="1:1" ht="12.75" customHeight="1" x14ac:dyDescent="0.3">
      <c r="A490" s="30"/>
    </row>
    <row r="491" spans="1:1" ht="12.75" customHeight="1" x14ac:dyDescent="0.3">
      <c r="A491" s="30"/>
    </row>
    <row r="492" spans="1:1" ht="12.75" customHeight="1" x14ac:dyDescent="0.3">
      <c r="A492" s="30"/>
    </row>
    <row r="493" spans="1:1" ht="12.75" customHeight="1" x14ac:dyDescent="0.3">
      <c r="A493" s="30"/>
    </row>
    <row r="494" spans="1:1" ht="12.75" customHeight="1" x14ac:dyDescent="0.3">
      <c r="A494" s="30"/>
    </row>
    <row r="495" spans="1:1" ht="12.75" customHeight="1" x14ac:dyDescent="0.3">
      <c r="A495" s="30"/>
    </row>
    <row r="496" spans="1:1" ht="12.75" customHeight="1" x14ac:dyDescent="0.3">
      <c r="A496" s="30"/>
    </row>
    <row r="497" spans="1:1" ht="12.75" customHeight="1" x14ac:dyDescent="0.3">
      <c r="A497" s="30"/>
    </row>
    <row r="498" spans="1:1" ht="12.75" customHeight="1" x14ac:dyDescent="0.3">
      <c r="A498" s="30"/>
    </row>
    <row r="499" spans="1:1" ht="12.75" customHeight="1" x14ac:dyDescent="0.3">
      <c r="A499" s="30"/>
    </row>
    <row r="500" spans="1:1" ht="12.75" customHeight="1" x14ac:dyDescent="0.3">
      <c r="A500" s="30"/>
    </row>
    <row r="501" spans="1:1" ht="12.75" customHeight="1" x14ac:dyDescent="0.3">
      <c r="A501" s="30"/>
    </row>
    <row r="502" spans="1:1" ht="12.75" customHeight="1" x14ac:dyDescent="0.3">
      <c r="A502" s="30"/>
    </row>
    <row r="503" spans="1:1" ht="12.75" customHeight="1" x14ac:dyDescent="0.3">
      <c r="A503" s="30"/>
    </row>
    <row r="504" spans="1:1" ht="12.75" customHeight="1" x14ac:dyDescent="0.3">
      <c r="A504" s="30"/>
    </row>
    <row r="505" spans="1:1" ht="12.75" customHeight="1" x14ac:dyDescent="0.3">
      <c r="A505" s="30"/>
    </row>
    <row r="506" spans="1:1" ht="12.75" customHeight="1" x14ac:dyDescent="0.3">
      <c r="A506" s="30"/>
    </row>
    <row r="507" spans="1:1" ht="12.75" customHeight="1" x14ac:dyDescent="0.3">
      <c r="A507" s="30"/>
    </row>
    <row r="508" spans="1:1" ht="12.75" customHeight="1" x14ac:dyDescent="0.3">
      <c r="A508" s="30"/>
    </row>
    <row r="509" spans="1:1" ht="12.75" customHeight="1" x14ac:dyDescent="0.3">
      <c r="A509" s="30"/>
    </row>
    <row r="510" spans="1:1" ht="12.75" customHeight="1" x14ac:dyDescent="0.3">
      <c r="A510" s="30"/>
    </row>
    <row r="511" spans="1:1" ht="12.75" customHeight="1" x14ac:dyDescent="0.3">
      <c r="A511" s="30"/>
    </row>
    <row r="512" spans="1:1" ht="12.75" customHeight="1" x14ac:dyDescent="0.3">
      <c r="A512" s="30"/>
    </row>
    <row r="513" spans="1:1" ht="12.75" customHeight="1" x14ac:dyDescent="0.3">
      <c r="A513" s="30"/>
    </row>
    <row r="514" spans="1:1" ht="12.75" customHeight="1" x14ac:dyDescent="0.3">
      <c r="A514" s="30"/>
    </row>
    <row r="515" spans="1:1" ht="12.75" customHeight="1" x14ac:dyDescent="0.3">
      <c r="A515" s="30"/>
    </row>
    <row r="516" spans="1:1" ht="12.75" customHeight="1" x14ac:dyDescent="0.3">
      <c r="A516" s="30"/>
    </row>
    <row r="517" spans="1:1" ht="12.75" customHeight="1" x14ac:dyDescent="0.3">
      <c r="A517" s="30"/>
    </row>
    <row r="518" spans="1:1" ht="12.75" customHeight="1" x14ac:dyDescent="0.3">
      <c r="A518" s="30"/>
    </row>
    <row r="519" spans="1:1" ht="12.75" customHeight="1" x14ac:dyDescent="0.3">
      <c r="A519" s="30"/>
    </row>
    <row r="520" spans="1:1" ht="12.75" customHeight="1" x14ac:dyDescent="0.3">
      <c r="A520" s="30"/>
    </row>
    <row r="521" spans="1:1" ht="12.75" customHeight="1" x14ac:dyDescent="0.3">
      <c r="A521" s="30"/>
    </row>
    <row r="522" spans="1:1" ht="12.75" customHeight="1" x14ac:dyDescent="0.3">
      <c r="A522" s="30"/>
    </row>
    <row r="523" spans="1:1" ht="12.75" customHeight="1" x14ac:dyDescent="0.3">
      <c r="A523" s="30"/>
    </row>
    <row r="524" spans="1:1" ht="12.75" customHeight="1" x14ac:dyDescent="0.3">
      <c r="A524" s="30"/>
    </row>
    <row r="525" spans="1:1" ht="12.75" customHeight="1" x14ac:dyDescent="0.3">
      <c r="A525" s="30"/>
    </row>
    <row r="526" spans="1:1" ht="12.75" customHeight="1" x14ac:dyDescent="0.3">
      <c r="A526" s="30"/>
    </row>
    <row r="527" spans="1:1" ht="12.75" customHeight="1" x14ac:dyDescent="0.3">
      <c r="A527" s="30"/>
    </row>
    <row r="528" spans="1:1" ht="12.75" customHeight="1" x14ac:dyDescent="0.3">
      <c r="A528" s="30"/>
    </row>
    <row r="529" spans="1:1" ht="12.75" customHeight="1" x14ac:dyDescent="0.3">
      <c r="A529" s="30"/>
    </row>
    <row r="530" spans="1:1" ht="12.75" customHeight="1" x14ac:dyDescent="0.3">
      <c r="A530" s="30"/>
    </row>
    <row r="531" spans="1:1" ht="12.75" customHeight="1" x14ac:dyDescent="0.3">
      <c r="A531" s="30"/>
    </row>
    <row r="532" spans="1:1" ht="12.75" customHeight="1" x14ac:dyDescent="0.3">
      <c r="A532" s="30"/>
    </row>
    <row r="533" spans="1:1" ht="12.75" customHeight="1" x14ac:dyDescent="0.3">
      <c r="A533" s="30"/>
    </row>
    <row r="534" spans="1:1" ht="12.75" customHeight="1" x14ac:dyDescent="0.3">
      <c r="A534" s="30"/>
    </row>
    <row r="535" spans="1:1" ht="12.75" customHeight="1" x14ac:dyDescent="0.3">
      <c r="A535" s="30"/>
    </row>
    <row r="536" spans="1:1" ht="12.75" customHeight="1" x14ac:dyDescent="0.3">
      <c r="A536" s="30"/>
    </row>
    <row r="537" spans="1:1" ht="12.75" customHeight="1" x14ac:dyDescent="0.3">
      <c r="A537" s="30"/>
    </row>
    <row r="538" spans="1:1" ht="12.75" customHeight="1" x14ac:dyDescent="0.3">
      <c r="A538" s="30"/>
    </row>
    <row r="539" spans="1:1" ht="12.75" customHeight="1" x14ac:dyDescent="0.3">
      <c r="A539" s="30"/>
    </row>
    <row r="540" spans="1:1" ht="12.75" customHeight="1" x14ac:dyDescent="0.3">
      <c r="A540" s="30"/>
    </row>
    <row r="541" spans="1:1" ht="12.75" customHeight="1" x14ac:dyDescent="0.3">
      <c r="A541" s="30"/>
    </row>
    <row r="542" spans="1:1" ht="12.75" customHeight="1" x14ac:dyDescent="0.3">
      <c r="A542" s="30"/>
    </row>
    <row r="543" spans="1:1" ht="12.75" customHeight="1" x14ac:dyDescent="0.3">
      <c r="A543" s="30"/>
    </row>
    <row r="544" spans="1:1" ht="12.75" customHeight="1" x14ac:dyDescent="0.3">
      <c r="A544" s="30"/>
    </row>
    <row r="545" spans="1:1" ht="12.75" customHeight="1" x14ac:dyDescent="0.3">
      <c r="A545" s="30"/>
    </row>
    <row r="546" spans="1:1" ht="12.75" customHeight="1" x14ac:dyDescent="0.3">
      <c r="A546" s="30"/>
    </row>
    <row r="547" spans="1:1" ht="12.75" customHeight="1" x14ac:dyDescent="0.3">
      <c r="A547" s="30"/>
    </row>
    <row r="548" spans="1:1" ht="12.75" customHeight="1" x14ac:dyDescent="0.3">
      <c r="A548" s="30"/>
    </row>
    <row r="549" spans="1:1" ht="12.75" customHeight="1" x14ac:dyDescent="0.3">
      <c r="A549" s="30"/>
    </row>
    <row r="550" spans="1:1" ht="12.75" customHeight="1" x14ac:dyDescent="0.3">
      <c r="A550" s="30"/>
    </row>
    <row r="551" spans="1:1" ht="12.75" customHeight="1" x14ac:dyDescent="0.3">
      <c r="A551" s="30"/>
    </row>
    <row r="552" spans="1:1" ht="12.75" customHeight="1" x14ac:dyDescent="0.3">
      <c r="A552" s="30"/>
    </row>
    <row r="553" spans="1:1" ht="12.75" customHeight="1" x14ac:dyDescent="0.3">
      <c r="A553" s="30"/>
    </row>
    <row r="554" spans="1:1" ht="12.75" customHeight="1" x14ac:dyDescent="0.3">
      <c r="A554" s="30"/>
    </row>
    <row r="555" spans="1:1" ht="12.75" customHeight="1" x14ac:dyDescent="0.3">
      <c r="A555" s="30"/>
    </row>
    <row r="556" spans="1:1" ht="12.75" customHeight="1" x14ac:dyDescent="0.3">
      <c r="A556" s="30"/>
    </row>
    <row r="557" spans="1:1" ht="12.75" customHeight="1" x14ac:dyDescent="0.3">
      <c r="A557" s="30"/>
    </row>
    <row r="558" spans="1:1" ht="12.75" customHeight="1" x14ac:dyDescent="0.3">
      <c r="A558" s="30"/>
    </row>
    <row r="559" spans="1:1" ht="12.75" customHeight="1" x14ac:dyDescent="0.3">
      <c r="A559" s="30"/>
    </row>
    <row r="560" spans="1:1" ht="12.75" customHeight="1" x14ac:dyDescent="0.3">
      <c r="A560" s="30"/>
    </row>
    <row r="561" spans="1:1" ht="12.75" customHeight="1" x14ac:dyDescent="0.3">
      <c r="A561" s="30"/>
    </row>
    <row r="562" spans="1:1" ht="12.75" customHeight="1" x14ac:dyDescent="0.3">
      <c r="A562" s="30"/>
    </row>
    <row r="563" spans="1:1" ht="12.75" customHeight="1" x14ac:dyDescent="0.3">
      <c r="A563" s="30"/>
    </row>
    <row r="564" spans="1:1" ht="12.75" customHeight="1" x14ac:dyDescent="0.3">
      <c r="A564" s="30"/>
    </row>
    <row r="565" spans="1:1" ht="12.75" customHeight="1" x14ac:dyDescent="0.3">
      <c r="A565" s="30"/>
    </row>
    <row r="566" spans="1:1" ht="12.75" customHeight="1" x14ac:dyDescent="0.3">
      <c r="A566" s="30"/>
    </row>
    <row r="567" spans="1:1" ht="12.75" customHeight="1" x14ac:dyDescent="0.3">
      <c r="A567" s="30"/>
    </row>
    <row r="568" spans="1:1" ht="12.75" customHeight="1" x14ac:dyDescent="0.3">
      <c r="A568" s="30"/>
    </row>
    <row r="569" spans="1:1" ht="12.75" customHeight="1" x14ac:dyDescent="0.3">
      <c r="A569" s="30"/>
    </row>
    <row r="570" spans="1:1" ht="12.75" customHeight="1" x14ac:dyDescent="0.3">
      <c r="A570" s="30"/>
    </row>
    <row r="571" spans="1:1" ht="12.75" customHeight="1" x14ac:dyDescent="0.3">
      <c r="A571" s="30"/>
    </row>
    <row r="572" spans="1:1" ht="12.75" customHeight="1" x14ac:dyDescent="0.3">
      <c r="A572" s="30"/>
    </row>
    <row r="573" spans="1:1" ht="12.75" customHeight="1" x14ac:dyDescent="0.3">
      <c r="A573" s="30"/>
    </row>
    <row r="574" spans="1:1" ht="12.75" customHeight="1" x14ac:dyDescent="0.3">
      <c r="A574" s="30"/>
    </row>
    <row r="575" spans="1:1" ht="12.75" customHeight="1" x14ac:dyDescent="0.3">
      <c r="A575" s="30"/>
    </row>
    <row r="576" spans="1:1" ht="12.75" customHeight="1" x14ac:dyDescent="0.3">
      <c r="A576" s="30"/>
    </row>
    <row r="577" spans="1:1" ht="12.75" customHeight="1" x14ac:dyDescent="0.3">
      <c r="A577" s="30"/>
    </row>
    <row r="578" spans="1:1" ht="12.75" customHeight="1" x14ac:dyDescent="0.3">
      <c r="A578" s="30"/>
    </row>
    <row r="579" spans="1:1" ht="12.75" customHeight="1" x14ac:dyDescent="0.3">
      <c r="A579" s="30"/>
    </row>
    <row r="580" spans="1:1" ht="12.75" customHeight="1" x14ac:dyDescent="0.3">
      <c r="A580" s="30"/>
    </row>
    <row r="581" spans="1:1" ht="12.75" customHeight="1" x14ac:dyDescent="0.3">
      <c r="A581" s="30"/>
    </row>
    <row r="582" spans="1:1" ht="12.75" customHeight="1" x14ac:dyDescent="0.3">
      <c r="A582" s="30"/>
    </row>
    <row r="583" spans="1:1" ht="12.75" customHeight="1" x14ac:dyDescent="0.3">
      <c r="A583" s="30"/>
    </row>
    <row r="584" spans="1:1" ht="12.75" customHeight="1" x14ac:dyDescent="0.3">
      <c r="A584" s="30"/>
    </row>
    <row r="585" spans="1:1" ht="12.75" customHeight="1" x14ac:dyDescent="0.3">
      <c r="A585" s="30"/>
    </row>
    <row r="586" spans="1:1" ht="12.75" customHeight="1" x14ac:dyDescent="0.3">
      <c r="A586" s="30"/>
    </row>
    <row r="587" spans="1:1" ht="12.75" customHeight="1" x14ac:dyDescent="0.3">
      <c r="A587" s="30"/>
    </row>
    <row r="588" spans="1:1" ht="12.75" customHeight="1" x14ac:dyDescent="0.3">
      <c r="A588" s="30"/>
    </row>
    <row r="589" spans="1:1" ht="12.75" customHeight="1" x14ac:dyDescent="0.3">
      <c r="A589" s="30"/>
    </row>
    <row r="590" spans="1:1" ht="12.75" customHeight="1" x14ac:dyDescent="0.3">
      <c r="A590" s="30"/>
    </row>
    <row r="591" spans="1:1" ht="12.75" customHeight="1" x14ac:dyDescent="0.3">
      <c r="A591" s="30"/>
    </row>
    <row r="592" spans="1:1" ht="12.75" customHeight="1" x14ac:dyDescent="0.3">
      <c r="A592" s="30"/>
    </row>
    <row r="593" spans="1:1" ht="12.75" customHeight="1" x14ac:dyDescent="0.3">
      <c r="A593" s="30"/>
    </row>
    <row r="594" spans="1:1" ht="12.75" customHeight="1" x14ac:dyDescent="0.3">
      <c r="A594" s="30"/>
    </row>
    <row r="595" spans="1:1" ht="12.75" customHeight="1" x14ac:dyDescent="0.3">
      <c r="A595" s="30"/>
    </row>
    <row r="596" spans="1:1" ht="12.75" customHeight="1" x14ac:dyDescent="0.3">
      <c r="A596" s="30"/>
    </row>
    <row r="597" spans="1:1" ht="12.75" customHeight="1" x14ac:dyDescent="0.3">
      <c r="A597" s="30"/>
    </row>
    <row r="598" spans="1:1" ht="12.75" customHeight="1" x14ac:dyDescent="0.3">
      <c r="A598" s="30"/>
    </row>
    <row r="599" spans="1:1" ht="12.75" customHeight="1" x14ac:dyDescent="0.3">
      <c r="A599" s="30"/>
    </row>
    <row r="600" spans="1:1" ht="12.75" customHeight="1" x14ac:dyDescent="0.3">
      <c r="A600" s="30"/>
    </row>
    <row r="601" spans="1:1" ht="12.75" customHeight="1" x14ac:dyDescent="0.3">
      <c r="A601" s="30"/>
    </row>
    <row r="602" spans="1:1" ht="12.75" customHeight="1" x14ac:dyDescent="0.3">
      <c r="A602" s="30"/>
    </row>
    <row r="603" spans="1:1" ht="12.75" customHeight="1" x14ac:dyDescent="0.3">
      <c r="A603" s="30"/>
    </row>
    <row r="604" spans="1:1" ht="12.75" customHeight="1" x14ac:dyDescent="0.3">
      <c r="A604" s="30"/>
    </row>
    <row r="605" spans="1:1" ht="12.75" customHeight="1" x14ac:dyDescent="0.3">
      <c r="A605" s="30"/>
    </row>
    <row r="606" spans="1:1" ht="12.75" customHeight="1" x14ac:dyDescent="0.3">
      <c r="A606" s="30"/>
    </row>
    <row r="607" spans="1:1" ht="12.75" customHeight="1" x14ac:dyDescent="0.3">
      <c r="A607" s="30"/>
    </row>
    <row r="608" spans="1:1" ht="12.75" customHeight="1" x14ac:dyDescent="0.3">
      <c r="A608" s="30"/>
    </row>
    <row r="609" spans="1:1" ht="12.75" customHeight="1" x14ac:dyDescent="0.3">
      <c r="A609" s="30"/>
    </row>
    <row r="610" spans="1:1" ht="12.75" customHeight="1" x14ac:dyDescent="0.3">
      <c r="A610" s="30"/>
    </row>
    <row r="611" spans="1:1" ht="12.75" customHeight="1" x14ac:dyDescent="0.3">
      <c r="A611" s="30"/>
    </row>
    <row r="612" spans="1:1" ht="12.75" customHeight="1" x14ac:dyDescent="0.3">
      <c r="A612" s="30"/>
    </row>
    <row r="613" spans="1:1" ht="12.75" customHeight="1" x14ac:dyDescent="0.3">
      <c r="A613" s="30"/>
    </row>
    <row r="614" spans="1:1" ht="12.75" customHeight="1" x14ac:dyDescent="0.3">
      <c r="A614" s="30"/>
    </row>
    <row r="615" spans="1:1" ht="12.75" customHeight="1" x14ac:dyDescent="0.3">
      <c r="A615" s="30"/>
    </row>
    <row r="616" spans="1:1" ht="12.75" customHeight="1" x14ac:dyDescent="0.3">
      <c r="A616" s="30"/>
    </row>
    <row r="617" spans="1:1" ht="12.75" customHeight="1" x14ac:dyDescent="0.3">
      <c r="A617" s="30"/>
    </row>
    <row r="618" spans="1:1" ht="12.75" customHeight="1" x14ac:dyDescent="0.3">
      <c r="A618" s="30"/>
    </row>
    <row r="619" spans="1:1" ht="12.75" customHeight="1" x14ac:dyDescent="0.3">
      <c r="A619" s="30"/>
    </row>
    <row r="620" spans="1:1" ht="12.75" customHeight="1" x14ac:dyDescent="0.3">
      <c r="A620" s="30"/>
    </row>
    <row r="621" spans="1:1" ht="12.75" customHeight="1" x14ac:dyDescent="0.3">
      <c r="A621" s="30"/>
    </row>
    <row r="622" spans="1:1" ht="12.75" customHeight="1" x14ac:dyDescent="0.3">
      <c r="A622" s="30"/>
    </row>
    <row r="623" spans="1:1" ht="12.75" customHeight="1" x14ac:dyDescent="0.3">
      <c r="A623" s="30"/>
    </row>
    <row r="624" spans="1:1" ht="12.75" customHeight="1" x14ac:dyDescent="0.3">
      <c r="A624" s="30"/>
    </row>
    <row r="625" spans="1:1" ht="12.75" customHeight="1" x14ac:dyDescent="0.3">
      <c r="A625" s="30"/>
    </row>
    <row r="626" spans="1:1" ht="12.75" customHeight="1" x14ac:dyDescent="0.3">
      <c r="A626" s="30"/>
    </row>
    <row r="627" spans="1:1" ht="12.75" customHeight="1" x14ac:dyDescent="0.3">
      <c r="A627" s="30"/>
    </row>
    <row r="628" spans="1:1" ht="12.75" customHeight="1" x14ac:dyDescent="0.3">
      <c r="A628" s="30"/>
    </row>
    <row r="629" spans="1:1" ht="12.75" customHeight="1" x14ac:dyDescent="0.3">
      <c r="A629" s="30"/>
    </row>
    <row r="630" spans="1:1" ht="12.75" customHeight="1" x14ac:dyDescent="0.3">
      <c r="A630" s="30"/>
    </row>
    <row r="631" spans="1:1" ht="12.75" customHeight="1" x14ac:dyDescent="0.3">
      <c r="A631" s="30"/>
    </row>
    <row r="632" spans="1:1" ht="12.75" customHeight="1" x14ac:dyDescent="0.3">
      <c r="A632" s="30"/>
    </row>
    <row r="633" spans="1:1" ht="12.75" customHeight="1" x14ac:dyDescent="0.3">
      <c r="A633" s="30"/>
    </row>
    <row r="634" spans="1:1" ht="12.75" customHeight="1" x14ac:dyDescent="0.3">
      <c r="A634" s="30"/>
    </row>
    <row r="635" spans="1:1" ht="12.75" customHeight="1" x14ac:dyDescent="0.3">
      <c r="A635" s="30"/>
    </row>
    <row r="636" spans="1:1" ht="12.75" customHeight="1" x14ac:dyDescent="0.3">
      <c r="A636" s="30"/>
    </row>
    <row r="637" spans="1:1" ht="12.75" customHeight="1" x14ac:dyDescent="0.3">
      <c r="A637" s="30"/>
    </row>
    <row r="638" spans="1:1" ht="12.75" customHeight="1" x14ac:dyDescent="0.3">
      <c r="A638" s="30"/>
    </row>
    <row r="639" spans="1:1" ht="12.75" customHeight="1" x14ac:dyDescent="0.3">
      <c r="A639" s="30"/>
    </row>
    <row r="640" spans="1:1" ht="12.75" customHeight="1" x14ac:dyDescent="0.3">
      <c r="A640" s="30"/>
    </row>
    <row r="641" spans="1:1" ht="12.75" customHeight="1" x14ac:dyDescent="0.3">
      <c r="A641" s="30"/>
    </row>
    <row r="642" spans="1:1" ht="12.75" customHeight="1" x14ac:dyDescent="0.3">
      <c r="A642" s="30"/>
    </row>
    <row r="643" spans="1:1" ht="12.75" customHeight="1" x14ac:dyDescent="0.3">
      <c r="A643" s="30"/>
    </row>
    <row r="644" spans="1:1" ht="12.75" customHeight="1" x14ac:dyDescent="0.3">
      <c r="A644" s="30"/>
    </row>
    <row r="645" spans="1:1" ht="12.75" customHeight="1" x14ac:dyDescent="0.3">
      <c r="A645" s="30"/>
    </row>
    <row r="646" spans="1:1" ht="12.75" customHeight="1" x14ac:dyDescent="0.3">
      <c r="A646" s="30"/>
    </row>
    <row r="647" spans="1:1" ht="12.75" customHeight="1" x14ac:dyDescent="0.3">
      <c r="A647" s="30"/>
    </row>
    <row r="648" spans="1:1" ht="12.75" customHeight="1" x14ac:dyDescent="0.3">
      <c r="A648" s="30"/>
    </row>
    <row r="649" spans="1:1" ht="12.75" customHeight="1" x14ac:dyDescent="0.3">
      <c r="A649" s="30"/>
    </row>
    <row r="650" spans="1:1" ht="12.75" customHeight="1" x14ac:dyDescent="0.3">
      <c r="A650" s="30"/>
    </row>
    <row r="651" spans="1:1" ht="12.75" customHeight="1" x14ac:dyDescent="0.3">
      <c r="A651" s="30"/>
    </row>
    <row r="652" spans="1:1" ht="12.75" customHeight="1" x14ac:dyDescent="0.3">
      <c r="A652" s="30"/>
    </row>
    <row r="653" spans="1:1" ht="12.75" customHeight="1" x14ac:dyDescent="0.3">
      <c r="A653" s="30"/>
    </row>
    <row r="654" spans="1:1" ht="12.75" customHeight="1" x14ac:dyDescent="0.3">
      <c r="A654" s="30"/>
    </row>
    <row r="655" spans="1:1" ht="12.75" customHeight="1" x14ac:dyDescent="0.3">
      <c r="A655" s="30"/>
    </row>
    <row r="656" spans="1:1" ht="12.75" customHeight="1" x14ac:dyDescent="0.3">
      <c r="A656" s="30"/>
    </row>
    <row r="657" spans="1:1" ht="12.75" customHeight="1" x14ac:dyDescent="0.3">
      <c r="A657" s="30"/>
    </row>
    <row r="658" spans="1:1" ht="12.75" customHeight="1" x14ac:dyDescent="0.3">
      <c r="A658" s="30"/>
    </row>
    <row r="659" spans="1:1" ht="12.75" customHeight="1" x14ac:dyDescent="0.3">
      <c r="A659" s="30"/>
    </row>
    <row r="660" spans="1:1" ht="12.75" customHeight="1" x14ac:dyDescent="0.3">
      <c r="A660" s="30"/>
    </row>
    <row r="661" spans="1:1" ht="12.75" customHeight="1" x14ac:dyDescent="0.3">
      <c r="A661" s="30"/>
    </row>
    <row r="662" spans="1:1" ht="12.75" customHeight="1" x14ac:dyDescent="0.3">
      <c r="A662" s="30"/>
    </row>
    <row r="663" spans="1:1" ht="12.75" customHeight="1" x14ac:dyDescent="0.3">
      <c r="A663" s="30"/>
    </row>
    <row r="664" spans="1:1" ht="12.75" customHeight="1" x14ac:dyDescent="0.3">
      <c r="A664" s="30"/>
    </row>
    <row r="665" spans="1:1" ht="12.75" customHeight="1" x14ac:dyDescent="0.3">
      <c r="A665" s="30"/>
    </row>
    <row r="666" spans="1:1" ht="12.75" customHeight="1" x14ac:dyDescent="0.3">
      <c r="A666" s="30"/>
    </row>
    <row r="667" spans="1:1" ht="12.75" customHeight="1" x14ac:dyDescent="0.3">
      <c r="A667" s="30"/>
    </row>
    <row r="668" spans="1:1" ht="12.75" customHeight="1" x14ac:dyDescent="0.3">
      <c r="A668" s="30"/>
    </row>
    <row r="669" spans="1:1" ht="12.75" customHeight="1" x14ac:dyDescent="0.3">
      <c r="A669" s="30"/>
    </row>
    <row r="670" spans="1:1" ht="12.75" customHeight="1" x14ac:dyDescent="0.3">
      <c r="A670" s="30"/>
    </row>
    <row r="671" spans="1:1" ht="12.75" customHeight="1" x14ac:dyDescent="0.3">
      <c r="A671" s="30"/>
    </row>
    <row r="672" spans="1:1" ht="12.75" customHeight="1" x14ac:dyDescent="0.3">
      <c r="A672" s="30"/>
    </row>
    <row r="673" spans="1:1" ht="12.75" customHeight="1" x14ac:dyDescent="0.3">
      <c r="A673" s="30"/>
    </row>
    <row r="674" spans="1:1" ht="12.75" customHeight="1" x14ac:dyDescent="0.3">
      <c r="A674" s="30"/>
    </row>
    <row r="675" spans="1:1" ht="12.75" customHeight="1" x14ac:dyDescent="0.3">
      <c r="A675" s="30"/>
    </row>
    <row r="676" spans="1:1" ht="12.75" customHeight="1" x14ac:dyDescent="0.3">
      <c r="A676" s="30"/>
    </row>
    <row r="677" spans="1:1" ht="12.75" customHeight="1" x14ac:dyDescent="0.3">
      <c r="A677" s="30"/>
    </row>
    <row r="678" spans="1:1" ht="12.75" customHeight="1" x14ac:dyDescent="0.3">
      <c r="A678" s="30"/>
    </row>
    <row r="679" spans="1:1" ht="12.75" customHeight="1" x14ac:dyDescent="0.3">
      <c r="A679" s="30"/>
    </row>
    <row r="680" spans="1:1" ht="12.75" customHeight="1" x14ac:dyDescent="0.3">
      <c r="A680" s="30"/>
    </row>
    <row r="681" spans="1:1" ht="12.75" customHeight="1" x14ac:dyDescent="0.3">
      <c r="A681" s="30"/>
    </row>
    <row r="682" spans="1:1" ht="12.75" customHeight="1" x14ac:dyDescent="0.3">
      <c r="A682" s="30"/>
    </row>
    <row r="683" spans="1:1" ht="12.75" customHeight="1" x14ac:dyDescent="0.3">
      <c r="A683" s="30"/>
    </row>
    <row r="684" spans="1:1" ht="12.75" customHeight="1" x14ac:dyDescent="0.3">
      <c r="A684" s="30"/>
    </row>
    <row r="685" spans="1:1" ht="12.75" customHeight="1" x14ac:dyDescent="0.3">
      <c r="A685" s="30"/>
    </row>
    <row r="686" spans="1:1" ht="12.75" customHeight="1" x14ac:dyDescent="0.3">
      <c r="A686" s="30"/>
    </row>
    <row r="687" spans="1:1" ht="12.75" customHeight="1" x14ac:dyDescent="0.3">
      <c r="A687" s="30"/>
    </row>
    <row r="688" spans="1:1" ht="12.75" customHeight="1" x14ac:dyDescent="0.3">
      <c r="A688" s="30"/>
    </row>
    <row r="689" spans="1:1" ht="12.75" customHeight="1" x14ac:dyDescent="0.3">
      <c r="A689" s="30"/>
    </row>
    <row r="690" spans="1:1" ht="12.75" customHeight="1" x14ac:dyDescent="0.3">
      <c r="A690" s="30"/>
    </row>
    <row r="691" spans="1:1" ht="12.75" customHeight="1" x14ac:dyDescent="0.3">
      <c r="A691" s="30"/>
    </row>
    <row r="692" spans="1:1" ht="12.75" customHeight="1" x14ac:dyDescent="0.3">
      <c r="A692" s="30"/>
    </row>
    <row r="693" spans="1:1" ht="12.75" customHeight="1" x14ac:dyDescent="0.3">
      <c r="A693" s="30"/>
    </row>
    <row r="694" spans="1:1" ht="12.75" customHeight="1" x14ac:dyDescent="0.3">
      <c r="A694" s="30"/>
    </row>
    <row r="695" spans="1:1" ht="12.75" customHeight="1" x14ac:dyDescent="0.3">
      <c r="A695" s="30"/>
    </row>
    <row r="696" spans="1:1" ht="12.75" customHeight="1" x14ac:dyDescent="0.3">
      <c r="A696" s="30"/>
    </row>
    <row r="697" spans="1:1" ht="12.75" customHeight="1" x14ac:dyDescent="0.3">
      <c r="A697" s="30"/>
    </row>
    <row r="698" spans="1:1" ht="12.75" customHeight="1" x14ac:dyDescent="0.3">
      <c r="A698" s="30"/>
    </row>
    <row r="699" spans="1:1" ht="12.75" customHeight="1" x14ac:dyDescent="0.3">
      <c r="A699" s="30"/>
    </row>
    <row r="700" spans="1:1" ht="12.75" customHeight="1" x14ac:dyDescent="0.3">
      <c r="A700" s="30"/>
    </row>
    <row r="701" spans="1:1" ht="12.75" customHeight="1" x14ac:dyDescent="0.3">
      <c r="A701" s="30"/>
    </row>
    <row r="702" spans="1:1" ht="12.75" customHeight="1" x14ac:dyDescent="0.3">
      <c r="A702" s="30"/>
    </row>
    <row r="703" spans="1:1" ht="12.75" customHeight="1" x14ac:dyDescent="0.3">
      <c r="A703" s="30"/>
    </row>
    <row r="704" spans="1:1" ht="12.75" customHeight="1" x14ac:dyDescent="0.3">
      <c r="A704" s="30"/>
    </row>
    <row r="705" spans="1:1" ht="12.75" customHeight="1" x14ac:dyDescent="0.3">
      <c r="A705" s="30"/>
    </row>
    <row r="706" spans="1:1" ht="12.75" customHeight="1" x14ac:dyDescent="0.3">
      <c r="A706" s="30"/>
    </row>
    <row r="707" spans="1:1" ht="12.75" customHeight="1" x14ac:dyDescent="0.3">
      <c r="A707" s="30"/>
    </row>
    <row r="708" spans="1:1" ht="12.75" customHeight="1" x14ac:dyDescent="0.3">
      <c r="A708" s="30"/>
    </row>
    <row r="709" spans="1:1" ht="12.75" customHeight="1" x14ac:dyDescent="0.3">
      <c r="A709" s="30"/>
    </row>
    <row r="710" spans="1:1" ht="12.75" customHeight="1" x14ac:dyDescent="0.3">
      <c r="A710" s="30"/>
    </row>
    <row r="711" spans="1:1" ht="12.75" customHeight="1" x14ac:dyDescent="0.3">
      <c r="A711" s="30"/>
    </row>
    <row r="712" spans="1:1" ht="12.75" customHeight="1" x14ac:dyDescent="0.3">
      <c r="A712" s="30"/>
    </row>
    <row r="713" spans="1:1" ht="12.75" customHeight="1" x14ac:dyDescent="0.3">
      <c r="A713" s="30"/>
    </row>
    <row r="714" spans="1:1" ht="12.75" customHeight="1" x14ac:dyDescent="0.3">
      <c r="A714" s="30"/>
    </row>
    <row r="715" spans="1:1" ht="12.75" customHeight="1" x14ac:dyDescent="0.3">
      <c r="A715" s="30"/>
    </row>
    <row r="716" spans="1:1" ht="12.75" customHeight="1" x14ac:dyDescent="0.3">
      <c r="A716" s="30"/>
    </row>
    <row r="717" spans="1:1" ht="12.75" customHeight="1" x14ac:dyDescent="0.3">
      <c r="A717" s="30"/>
    </row>
    <row r="718" spans="1:1" ht="12.75" customHeight="1" x14ac:dyDescent="0.3">
      <c r="A718" s="30"/>
    </row>
    <row r="719" spans="1:1" ht="12.75" customHeight="1" x14ac:dyDescent="0.3">
      <c r="A719" s="30"/>
    </row>
    <row r="720" spans="1:1" ht="12.75" customHeight="1" x14ac:dyDescent="0.3">
      <c r="A720" s="30"/>
    </row>
    <row r="721" spans="1:1" ht="12.75" customHeight="1" x14ac:dyDescent="0.3">
      <c r="A721" s="30"/>
    </row>
    <row r="722" spans="1:1" ht="12.75" customHeight="1" x14ac:dyDescent="0.3">
      <c r="A722" s="30"/>
    </row>
    <row r="723" spans="1:1" ht="12.75" customHeight="1" x14ac:dyDescent="0.3">
      <c r="A723" s="30"/>
    </row>
    <row r="724" spans="1:1" ht="12.75" customHeight="1" x14ac:dyDescent="0.3">
      <c r="A724" s="30"/>
    </row>
    <row r="725" spans="1:1" ht="12.75" customHeight="1" x14ac:dyDescent="0.3">
      <c r="A725" s="30"/>
    </row>
    <row r="726" spans="1:1" ht="12.75" customHeight="1" x14ac:dyDescent="0.3">
      <c r="A726" s="30"/>
    </row>
    <row r="727" spans="1:1" ht="12.75" customHeight="1" x14ac:dyDescent="0.3">
      <c r="A727" s="30"/>
    </row>
    <row r="728" spans="1:1" ht="12.75" customHeight="1" x14ac:dyDescent="0.3">
      <c r="A728" s="30"/>
    </row>
    <row r="729" spans="1:1" ht="12.75" customHeight="1" x14ac:dyDescent="0.3">
      <c r="A729" s="30"/>
    </row>
    <row r="730" spans="1:1" ht="12.75" customHeight="1" x14ac:dyDescent="0.3">
      <c r="A730" s="30"/>
    </row>
    <row r="731" spans="1:1" ht="12.75" customHeight="1" x14ac:dyDescent="0.3">
      <c r="A731" s="30"/>
    </row>
    <row r="732" spans="1:1" ht="12.75" customHeight="1" x14ac:dyDescent="0.3">
      <c r="A732" s="30"/>
    </row>
    <row r="733" spans="1:1" ht="12.75" customHeight="1" x14ac:dyDescent="0.3">
      <c r="A733" s="30"/>
    </row>
    <row r="734" spans="1:1" ht="12.75" customHeight="1" x14ac:dyDescent="0.3">
      <c r="A734" s="30"/>
    </row>
    <row r="735" spans="1:1" ht="12.75" customHeight="1" x14ac:dyDescent="0.3">
      <c r="A735" s="30"/>
    </row>
    <row r="736" spans="1:1" ht="12.75" customHeight="1" x14ac:dyDescent="0.3">
      <c r="A736" s="30"/>
    </row>
    <row r="737" spans="1:1" ht="12.75" customHeight="1" x14ac:dyDescent="0.3">
      <c r="A737" s="30"/>
    </row>
    <row r="738" spans="1:1" ht="12.75" customHeight="1" x14ac:dyDescent="0.3">
      <c r="A738" s="30"/>
    </row>
    <row r="739" spans="1:1" ht="12.75" customHeight="1" x14ac:dyDescent="0.3">
      <c r="A739" s="30"/>
    </row>
    <row r="740" spans="1:1" ht="12.75" customHeight="1" x14ac:dyDescent="0.3">
      <c r="A740" s="30"/>
    </row>
    <row r="741" spans="1:1" ht="12.75" customHeight="1" x14ac:dyDescent="0.3">
      <c r="A741" s="30"/>
    </row>
    <row r="742" spans="1:1" ht="12.75" customHeight="1" x14ac:dyDescent="0.3">
      <c r="A742" s="30"/>
    </row>
    <row r="743" spans="1:1" ht="12.75" customHeight="1" x14ac:dyDescent="0.3">
      <c r="A743" s="30"/>
    </row>
    <row r="744" spans="1:1" ht="12.75" customHeight="1" x14ac:dyDescent="0.3">
      <c r="A744" s="30"/>
    </row>
    <row r="745" spans="1:1" ht="12.75" customHeight="1" x14ac:dyDescent="0.3">
      <c r="A745" s="30"/>
    </row>
    <row r="746" spans="1:1" ht="12.75" customHeight="1" x14ac:dyDescent="0.3">
      <c r="A746" s="30"/>
    </row>
    <row r="747" spans="1:1" ht="12.75" customHeight="1" x14ac:dyDescent="0.3">
      <c r="A747" s="30"/>
    </row>
    <row r="748" spans="1:1" ht="12.75" customHeight="1" x14ac:dyDescent="0.3">
      <c r="A748" s="30"/>
    </row>
    <row r="749" spans="1:1" ht="12.75" customHeight="1" x14ac:dyDescent="0.3">
      <c r="A749" s="30"/>
    </row>
    <row r="750" spans="1:1" ht="12.75" customHeight="1" x14ac:dyDescent="0.3">
      <c r="A750" s="30"/>
    </row>
    <row r="751" spans="1:1" ht="12.75" customHeight="1" x14ac:dyDescent="0.3">
      <c r="A751" s="30"/>
    </row>
    <row r="752" spans="1:1" ht="12.75" customHeight="1" x14ac:dyDescent="0.3">
      <c r="A752" s="30"/>
    </row>
    <row r="753" spans="1:1" ht="12.75" customHeight="1" x14ac:dyDescent="0.3">
      <c r="A753" s="30"/>
    </row>
    <row r="754" spans="1:1" ht="12.75" customHeight="1" x14ac:dyDescent="0.3">
      <c r="A754" s="30"/>
    </row>
    <row r="755" spans="1:1" ht="12.75" customHeight="1" x14ac:dyDescent="0.3">
      <c r="A755" s="30"/>
    </row>
    <row r="756" spans="1:1" ht="12.75" customHeight="1" x14ac:dyDescent="0.3">
      <c r="A756" s="30"/>
    </row>
    <row r="757" spans="1:1" ht="12.75" customHeight="1" x14ac:dyDescent="0.3">
      <c r="A757" s="30"/>
    </row>
    <row r="758" spans="1:1" ht="12.75" customHeight="1" x14ac:dyDescent="0.3">
      <c r="A758" s="30"/>
    </row>
    <row r="759" spans="1:1" ht="12.75" customHeight="1" x14ac:dyDescent="0.3">
      <c r="A759" s="30"/>
    </row>
    <row r="760" spans="1:1" ht="12.75" customHeight="1" x14ac:dyDescent="0.3">
      <c r="A760" s="30"/>
    </row>
    <row r="761" spans="1:1" ht="12.75" customHeight="1" x14ac:dyDescent="0.3">
      <c r="A761" s="30"/>
    </row>
    <row r="762" spans="1:1" ht="12.75" customHeight="1" x14ac:dyDescent="0.3">
      <c r="A762" s="30"/>
    </row>
    <row r="763" spans="1:1" ht="12.75" customHeight="1" x14ac:dyDescent="0.3">
      <c r="A763" s="30"/>
    </row>
    <row r="764" spans="1:1" ht="12.75" customHeight="1" x14ac:dyDescent="0.3">
      <c r="A764" s="30"/>
    </row>
    <row r="765" spans="1:1" ht="12.75" customHeight="1" x14ac:dyDescent="0.3">
      <c r="A765" s="30"/>
    </row>
    <row r="766" spans="1:1" ht="12.75" customHeight="1" x14ac:dyDescent="0.3">
      <c r="A766" s="30"/>
    </row>
    <row r="767" spans="1:1" ht="12.75" customHeight="1" x14ac:dyDescent="0.3">
      <c r="A767" s="30"/>
    </row>
    <row r="768" spans="1:1" ht="12.75" customHeight="1" x14ac:dyDescent="0.3">
      <c r="A768" s="30"/>
    </row>
    <row r="769" spans="1:1" ht="12.75" customHeight="1" x14ac:dyDescent="0.3">
      <c r="A769" s="30"/>
    </row>
    <row r="770" spans="1:1" ht="12.75" customHeight="1" x14ac:dyDescent="0.3">
      <c r="A770" s="30"/>
    </row>
    <row r="771" spans="1:1" ht="12.75" customHeight="1" x14ac:dyDescent="0.3">
      <c r="A771" s="30"/>
    </row>
    <row r="772" spans="1:1" ht="12.75" customHeight="1" x14ac:dyDescent="0.3">
      <c r="A772" s="30"/>
    </row>
    <row r="773" spans="1:1" ht="12.75" customHeight="1" x14ac:dyDescent="0.3">
      <c r="A773" s="30"/>
    </row>
    <row r="774" spans="1:1" ht="12.75" customHeight="1" x14ac:dyDescent="0.3">
      <c r="A774" s="30"/>
    </row>
    <row r="775" spans="1:1" ht="12.75" customHeight="1" x14ac:dyDescent="0.3">
      <c r="A775" s="30"/>
    </row>
    <row r="776" spans="1:1" ht="12.75" customHeight="1" x14ac:dyDescent="0.3">
      <c r="A776" s="30"/>
    </row>
    <row r="777" spans="1:1" ht="12.75" customHeight="1" x14ac:dyDescent="0.3">
      <c r="A777" s="30"/>
    </row>
    <row r="778" spans="1:1" ht="12.75" customHeight="1" x14ac:dyDescent="0.3">
      <c r="A778" s="30"/>
    </row>
    <row r="779" spans="1:1" ht="12.75" customHeight="1" x14ac:dyDescent="0.3">
      <c r="A779" s="30"/>
    </row>
    <row r="780" spans="1:1" ht="12.75" customHeight="1" x14ac:dyDescent="0.3">
      <c r="A780" s="30"/>
    </row>
    <row r="781" spans="1:1" ht="12.75" customHeight="1" x14ac:dyDescent="0.3">
      <c r="A781" s="30"/>
    </row>
    <row r="782" spans="1:1" ht="12.75" customHeight="1" x14ac:dyDescent="0.3">
      <c r="A782" s="30"/>
    </row>
    <row r="783" spans="1:1" ht="12.75" customHeight="1" x14ac:dyDescent="0.3">
      <c r="A783" s="30"/>
    </row>
    <row r="784" spans="1:1" ht="12.75" customHeight="1" x14ac:dyDescent="0.3">
      <c r="A784" s="30"/>
    </row>
    <row r="785" spans="1:1" ht="12.75" customHeight="1" x14ac:dyDescent="0.3">
      <c r="A785" s="30"/>
    </row>
    <row r="786" spans="1:1" ht="12.75" customHeight="1" x14ac:dyDescent="0.3">
      <c r="A786" s="30"/>
    </row>
    <row r="787" spans="1:1" ht="12.75" customHeight="1" x14ac:dyDescent="0.3">
      <c r="A787" s="30"/>
    </row>
    <row r="788" spans="1:1" ht="12.75" customHeight="1" x14ac:dyDescent="0.3">
      <c r="A788" s="30"/>
    </row>
    <row r="789" spans="1:1" ht="12.75" customHeight="1" x14ac:dyDescent="0.3">
      <c r="A789" s="30"/>
    </row>
    <row r="790" spans="1:1" ht="12.75" customHeight="1" x14ac:dyDescent="0.3">
      <c r="A790" s="30"/>
    </row>
    <row r="791" spans="1:1" ht="12.75" customHeight="1" x14ac:dyDescent="0.3">
      <c r="A791" s="30"/>
    </row>
    <row r="792" spans="1:1" ht="12.75" customHeight="1" x14ac:dyDescent="0.3">
      <c r="A792" s="30"/>
    </row>
    <row r="793" spans="1:1" ht="12.75" customHeight="1" x14ac:dyDescent="0.3">
      <c r="A793" s="30"/>
    </row>
    <row r="794" spans="1:1" ht="12.75" customHeight="1" x14ac:dyDescent="0.3">
      <c r="A794" s="30"/>
    </row>
    <row r="795" spans="1:1" ht="12.75" customHeight="1" x14ac:dyDescent="0.3">
      <c r="A795" s="30"/>
    </row>
    <row r="796" spans="1:1" ht="12.75" customHeight="1" x14ac:dyDescent="0.3">
      <c r="A796" s="30"/>
    </row>
    <row r="797" spans="1:1" ht="12.75" customHeight="1" x14ac:dyDescent="0.3">
      <c r="A797" s="30"/>
    </row>
    <row r="798" spans="1:1" ht="12.75" customHeight="1" x14ac:dyDescent="0.3">
      <c r="A798" s="30"/>
    </row>
    <row r="799" spans="1:1" ht="12.75" customHeight="1" x14ac:dyDescent="0.3">
      <c r="A799" s="30"/>
    </row>
    <row r="800" spans="1:1" ht="12.75" customHeight="1" x14ac:dyDescent="0.3">
      <c r="A800" s="30"/>
    </row>
    <row r="801" spans="1:1" ht="12.75" customHeight="1" x14ac:dyDescent="0.3">
      <c r="A801" s="30"/>
    </row>
    <row r="802" spans="1:1" ht="12.75" customHeight="1" x14ac:dyDescent="0.3">
      <c r="A802" s="30"/>
    </row>
    <row r="803" spans="1:1" ht="12.75" customHeight="1" x14ac:dyDescent="0.3">
      <c r="A803" s="30"/>
    </row>
    <row r="804" spans="1:1" ht="12.75" customHeight="1" x14ac:dyDescent="0.3">
      <c r="A804" s="30"/>
    </row>
    <row r="805" spans="1:1" ht="12.75" customHeight="1" x14ac:dyDescent="0.3">
      <c r="A805" s="30"/>
    </row>
    <row r="806" spans="1:1" ht="12.75" customHeight="1" x14ac:dyDescent="0.3">
      <c r="A806" s="30"/>
    </row>
    <row r="807" spans="1:1" ht="12.75" customHeight="1" x14ac:dyDescent="0.3">
      <c r="A807" s="30"/>
    </row>
    <row r="808" spans="1:1" ht="12.75" customHeight="1" x14ac:dyDescent="0.3">
      <c r="A808" s="30"/>
    </row>
    <row r="809" spans="1:1" ht="12.75" customHeight="1" x14ac:dyDescent="0.3">
      <c r="A809" s="30"/>
    </row>
    <row r="810" spans="1:1" ht="12.75" customHeight="1" x14ac:dyDescent="0.3">
      <c r="A810" s="30"/>
    </row>
    <row r="811" spans="1:1" ht="12.75" customHeight="1" x14ac:dyDescent="0.3">
      <c r="A811" s="30"/>
    </row>
    <row r="812" spans="1:1" ht="12.75" customHeight="1" x14ac:dyDescent="0.3">
      <c r="A812" s="30"/>
    </row>
    <row r="813" spans="1:1" ht="12.75" customHeight="1" x14ac:dyDescent="0.3">
      <c r="A813" s="30"/>
    </row>
    <row r="814" spans="1:1" ht="12.75" customHeight="1" x14ac:dyDescent="0.3">
      <c r="A814" s="30"/>
    </row>
    <row r="815" spans="1:1" ht="12.75" customHeight="1" x14ac:dyDescent="0.3">
      <c r="A815" s="30"/>
    </row>
    <row r="816" spans="1:1" ht="12.75" customHeight="1" x14ac:dyDescent="0.3">
      <c r="A816" s="30"/>
    </row>
    <row r="817" spans="1:1" ht="12.75" customHeight="1" x14ac:dyDescent="0.3">
      <c r="A817" s="30"/>
    </row>
    <row r="818" spans="1:1" ht="12.75" customHeight="1" x14ac:dyDescent="0.3">
      <c r="A818" s="30"/>
    </row>
    <row r="819" spans="1:1" ht="12.75" customHeight="1" x14ac:dyDescent="0.3">
      <c r="A819" s="30"/>
    </row>
    <row r="820" spans="1:1" ht="12.75" customHeight="1" x14ac:dyDescent="0.3">
      <c r="A820" s="30"/>
    </row>
    <row r="821" spans="1:1" ht="12.75" customHeight="1" x14ac:dyDescent="0.3">
      <c r="A821" s="30"/>
    </row>
    <row r="822" spans="1:1" ht="12.75" customHeight="1" x14ac:dyDescent="0.3">
      <c r="A822" s="30"/>
    </row>
    <row r="823" spans="1:1" ht="12.75" customHeight="1" x14ac:dyDescent="0.3">
      <c r="A823" s="30"/>
    </row>
    <row r="824" spans="1:1" ht="12.75" customHeight="1" x14ac:dyDescent="0.3">
      <c r="A824" s="30"/>
    </row>
    <row r="825" spans="1:1" ht="12.75" customHeight="1" x14ac:dyDescent="0.3">
      <c r="A825" s="30"/>
    </row>
    <row r="826" spans="1:1" ht="12.75" customHeight="1" x14ac:dyDescent="0.3">
      <c r="A826" s="30"/>
    </row>
    <row r="827" spans="1:1" ht="12.75" customHeight="1" x14ac:dyDescent="0.3">
      <c r="A827" s="30"/>
    </row>
    <row r="828" spans="1:1" ht="12.75" customHeight="1" x14ac:dyDescent="0.3">
      <c r="A828" s="30"/>
    </row>
    <row r="829" spans="1:1" ht="12.75" customHeight="1" x14ac:dyDescent="0.3">
      <c r="A829" s="30"/>
    </row>
    <row r="830" spans="1:1" ht="12.75" customHeight="1" x14ac:dyDescent="0.3">
      <c r="A830" s="30"/>
    </row>
    <row r="831" spans="1:1" ht="12.75" customHeight="1" x14ac:dyDescent="0.3">
      <c r="A831" s="30"/>
    </row>
    <row r="832" spans="1:1" ht="12.75" customHeight="1" x14ac:dyDescent="0.3">
      <c r="A832" s="30"/>
    </row>
    <row r="833" spans="1:1" ht="12.75" customHeight="1" x14ac:dyDescent="0.3">
      <c r="A833" s="30"/>
    </row>
    <row r="834" spans="1:1" ht="12.75" customHeight="1" x14ac:dyDescent="0.3">
      <c r="A834" s="30"/>
    </row>
    <row r="835" spans="1:1" ht="12.75" customHeight="1" x14ac:dyDescent="0.3">
      <c r="A835" s="30"/>
    </row>
    <row r="836" spans="1:1" ht="12.75" customHeight="1" x14ac:dyDescent="0.3">
      <c r="A836" s="30"/>
    </row>
    <row r="837" spans="1:1" ht="12.75" customHeight="1" x14ac:dyDescent="0.3">
      <c r="A837" s="30"/>
    </row>
    <row r="838" spans="1:1" ht="12.75" customHeight="1" x14ac:dyDescent="0.3">
      <c r="A838" s="30"/>
    </row>
    <row r="839" spans="1:1" ht="12.75" customHeight="1" x14ac:dyDescent="0.3">
      <c r="A839" s="30"/>
    </row>
    <row r="840" spans="1:1" ht="12.75" customHeight="1" x14ac:dyDescent="0.3">
      <c r="A840" s="30"/>
    </row>
    <row r="841" spans="1:1" ht="12.75" customHeight="1" x14ac:dyDescent="0.3">
      <c r="A841" s="30"/>
    </row>
    <row r="842" spans="1:1" ht="12.75" customHeight="1" x14ac:dyDescent="0.3">
      <c r="A842" s="30"/>
    </row>
    <row r="843" spans="1:1" ht="12.75" customHeight="1" x14ac:dyDescent="0.3">
      <c r="A843" s="30"/>
    </row>
    <row r="844" spans="1:1" ht="12.75" customHeight="1" x14ac:dyDescent="0.3">
      <c r="A844" s="30"/>
    </row>
    <row r="845" spans="1:1" ht="12.75" customHeight="1" x14ac:dyDescent="0.3">
      <c r="A845" s="30"/>
    </row>
    <row r="846" spans="1:1" ht="12.75" customHeight="1" x14ac:dyDescent="0.3">
      <c r="A846" s="30"/>
    </row>
    <row r="847" spans="1:1" ht="12.75" customHeight="1" x14ac:dyDescent="0.3">
      <c r="A847" s="30"/>
    </row>
    <row r="848" spans="1:1" ht="12.75" customHeight="1" x14ac:dyDescent="0.3">
      <c r="A848" s="30"/>
    </row>
    <row r="849" spans="1:1" ht="12.75" customHeight="1" x14ac:dyDescent="0.3">
      <c r="A849" s="30"/>
    </row>
    <row r="850" spans="1:1" ht="12.75" customHeight="1" x14ac:dyDescent="0.3">
      <c r="A850" s="30"/>
    </row>
    <row r="851" spans="1:1" ht="12.75" customHeight="1" x14ac:dyDescent="0.3">
      <c r="A851" s="30"/>
    </row>
    <row r="852" spans="1:1" ht="12.75" customHeight="1" x14ac:dyDescent="0.3">
      <c r="A852" s="30"/>
    </row>
    <row r="853" spans="1:1" ht="12.75" customHeight="1" x14ac:dyDescent="0.3">
      <c r="A853" s="30"/>
    </row>
    <row r="854" spans="1:1" ht="12.75" customHeight="1" x14ac:dyDescent="0.3">
      <c r="A854" s="30"/>
    </row>
    <row r="855" spans="1:1" ht="12.75" customHeight="1" x14ac:dyDescent="0.3">
      <c r="A855" s="30"/>
    </row>
    <row r="856" spans="1:1" ht="12.75" customHeight="1" x14ac:dyDescent="0.3">
      <c r="A856" s="30"/>
    </row>
    <row r="857" spans="1:1" ht="12.75" customHeight="1" x14ac:dyDescent="0.3">
      <c r="A857" s="30"/>
    </row>
    <row r="858" spans="1:1" ht="12.75" customHeight="1" x14ac:dyDescent="0.3">
      <c r="A858" s="30"/>
    </row>
    <row r="859" spans="1:1" ht="12.75" customHeight="1" x14ac:dyDescent="0.3">
      <c r="A859" s="30"/>
    </row>
    <row r="860" spans="1:1" ht="12.75" customHeight="1" x14ac:dyDescent="0.3">
      <c r="A860" s="30"/>
    </row>
    <row r="861" spans="1:1" ht="12.75" customHeight="1" x14ac:dyDescent="0.3">
      <c r="A861" s="30"/>
    </row>
    <row r="862" spans="1:1" ht="12.75" customHeight="1" x14ac:dyDescent="0.3">
      <c r="A862" s="30"/>
    </row>
    <row r="863" spans="1:1" ht="12.75" customHeight="1" x14ac:dyDescent="0.3">
      <c r="A863" s="30"/>
    </row>
    <row r="864" spans="1:1" ht="12.75" customHeight="1" x14ac:dyDescent="0.3">
      <c r="A864" s="30"/>
    </row>
    <row r="865" spans="1:1" ht="12.75" customHeight="1" x14ac:dyDescent="0.3">
      <c r="A865" s="30"/>
    </row>
    <row r="866" spans="1:1" ht="12.75" customHeight="1" x14ac:dyDescent="0.3">
      <c r="A866" s="30"/>
    </row>
    <row r="867" spans="1:1" ht="12.75" customHeight="1" x14ac:dyDescent="0.3">
      <c r="A867" s="30"/>
    </row>
    <row r="868" spans="1:1" ht="12.75" customHeight="1" x14ac:dyDescent="0.3">
      <c r="A868" s="30"/>
    </row>
    <row r="869" spans="1:1" ht="12.75" customHeight="1" x14ac:dyDescent="0.3">
      <c r="A869" s="30"/>
    </row>
    <row r="870" spans="1:1" ht="12.75" customHeight="1" x14ac:dyDescent="0.3">
      <c r="A870" s="30"/>
    </row>
    <row r="871" spans="1:1" ht="12.75" customHeight="1" x14ac:dyDescent="0.3">
      <c r="A871" s="30"/>
    </row>
    <row r="872" spans="1:1" ht="12.75" customHeight="1" x14ac:dyDescent="0.3">
      <c r="A872" s="30"/>
    </row>
    <row r="873" spans="1:1" ht="12.75" customHeight="1" x14ac:dyDescent="0.3">
      <c r="A873" s="30"/>
    </row>
    <row r="874" spans="1:1" ht="12.75" customHeight="1" x14ac:dyDescent="0.3">
      <c r="A874" s="30"/>
    </row>
    <row r="875" spans="1:1" ht="12.75" customHeight="1" x14ac:dyDescent="0.3">
      <c r="A875" s="30"/>
    </row>
    <row r="876" spans="1:1" ht="12.75" customHeight="1" x14ac:dyDescent="0.3">
      <c r="A876" s="30"/>
    </row>
    <row r="877" spans="1:1" ht="12.75" customHeight="1" x14ac:dyDescent="0.3">
      <c r="A877" s="30"/>
    </row>
    <row r="878" spans="1:1" ht="12.75" customHeight="1" x14ac:dyDescent="0.3">
      <c r="A878" s="30"/>
    </row>
    <row r="879" spans="1:1" ht="12.75" customHeight="1" x14ac:dyDescent="0.3">
      <c r="A879" s="30"/>
    </row>
    <row r="880" spans="1:1" ht="12.75" customHeight="1" x14ac:dyDescent="0.3">
      <c r="A880" s="30"/>
    </row>
    <row r="881" spans="1:1" ht="12.75" customHeight="1" x14ac:dyDescent="0.3">
      <c r="A881" s="30"/>
    </row>
    <row r="882" spans="1:1" ht="12.75" customHeight="1" x14ac:dyDescent="0.3">
      <c r="A882" s="30"/>
    </row>
    <row r="883" spans="1:1" ht="12.75" customHeight="1" x14ac:dyDescent="0.3">
      <c r="A883" s="30"/>
    </row>
    <row r="884" spans="1:1" ht="12.75" customHeight="1" x14ac:dyDescent="0.3">
      <c r="A884" s="30"/>
    </row>
    <row r="885" spans="1:1" ht="12.75" customHeight="1" x14ac:dyDescent="0.3">
      <c r="A885" s="30"/>
    </row>
    <row r="886" spans="1:1" ht="12.75" customHeight="1" x14ac:dyDescent="0.3">
      <c r="A886" s="30"/>
    </row>
    <row r="887" spans="1:1" ht="12.75" customHeight="1" x14ac:dyDescent="0.3">
      <c r="A887" s="30"/>
    </row>
    <row r="888" spans="1:1" ht="12.75" customHeight="1" x14ac:dyDescent="0.3">
      <c r="A888" s="30"/>
    </row>
    <row r="889" spans="1:1" ht="12.75" customHeight="1" x14ac:dyDescent="0.3">
      <c r="A889" s="30"/>
    </row>
    <row r="890" spans="1:1" ht="12.75" customHeight="1" x14ac:dyDescent="0.3">
      <c r="A890" s="30"/>
    </row>
    <row r="891" spans="1:1" ht="12.75" customHeight="1" x14ac:dyDescent="0.3">
      <c r="A891" s="30"/>
    </row>
    <row r="892" spans="1:1" ht="12.75" customHeight="1" x14ac:dyDescent="0.3">
      <c r="A892" s="30"/>
    </row>
    <row r="893" spans="1:1" ht="12.75" customHeight="1" x14ac:dyDescent="0.3">
      <c r="A893" s="30"/>
    </row>
    <row r="894" spans="1:1" ht="12.75" customHeight="1" x14ac:dyDescent="0.3">
      <c r="A894" s="30"/>
    </row>
    <row r="895" spans="1:1" ht="12.75" customHeight="1" x14ac:dyDescent="0.3">
      <c r="A895" s="30"/>
    </row>
    <row r="896" spans="1:1" ht="12.75" customHeight="1" x14ac:dyDescent="0.3">
      <c r="A896" s="30"/>
    </row>
    <row r="897" spans="1:1" ht="12.75" customHeight="1" x14ac:dyDescent="0.3">
      <c r="A897" s="30"/>
    </row>
    <row r="898" spans="1:1" ht="12.75" customHeight="1" x14ac:dyDescent="0.3">
      <c r="A898" s="30"/>
    </row>
    <row r="899" spans="1:1" ht="12.75" customHeight="1" x14ac:dyDescent="0.3">
      <c r="A899" s="30"/>
    </row>
    <row r="900" spans="1:1" ht="12.75" customHeight="1" x14ac:dyDescent="0.3">
      <c r="A900" s="30"/>
    </row>
    <row r="901" spans="1:1" ht="12.75" customHeight="1" x14ac:dyDescent="0.3">
      <c r="A901" s="30"/>
    </row>
    <row r="902" spans="1:1" ht="12.75" customHeight="1" x14ac:dyDescent="0.3">
      <c r="A902" s="30"/>
    </row>
    <row r="903" spans="1:1" ht="12.75" customHeight="1" x14ac:dyDescent="0.3">
      <c r="A903" s="30"/>
    </row>
    <row r="904" spans="1:1" ht="12.75" customHeight="1" x14ac:dyDescent="0.3">
      <c r="A904" s="30"/>
    </row>
    <row r="905" spans="1:1" ht="12.75" customHeight="1" x14ac:dyDescent="0.3">
      <c r="A905" s="30"/>
    </row>
    <row r="906" spans="1:1" ht="12.75" customHeight="1" x14ac:dyDescent="0.3">
      <c r="A906" s="30"/>
    </row>
    <row r="907" spans="1:1" ht="12.75" customHeight="1" x14ac:dyDescent="0.3">
      <c r="A907" s="30"/>
    </row>
    <row r="908" spans="1:1" ht="12.75" customHeight="1" x14ac:dyDescent="0.3">
      <c r="A908" s="30"/>
    </row>
    <row r="909" spans="1:1" ht="12.75" customHeight="1" x14ac:dyDescent="0.3">
      <c r="A909" s="30"/>
    </row>
    <row r="910" spans="1:1" ht="12.75" customHeight="1" x14ac:dyDescent="0.3">
      <c r="A910" s="30"/>
    </row>
    <row r="911" spans="1:1" ht="12.75" customHeight="1" x14ac:dyDescent="0.3">
      <c r="A911" s="30"/>
    </row>
    <row r="912" spans="1:1" ht="12.75" customHeight="1" x14ac:dyDescent="0.3">
      <c r="A912" s="30"/>
    </row>
    <row r="913" spans="1:1" ht="12.75" customHeight="1" x14ac:dyDescent="0.3">
      <c r="A913" s="30"/>
    </row>
    <row r="914" spans="1:1" ht="12.75" customHeight="1" x14ac:dyDescent="0.3">
      <c r="A914" s="30"/>
    </row>
    <row r="915" spans="1:1" ht="12.75" customHeight="1" x14ac:dyDescent="0.3">
      <c r="A915" s="30"/>
    </row>
    <row r="916" spans="1:1" ht="12.75" customHeight="1" x14ac:dyDescent="0.3">
      <c r="A916" s="30"/>
    </row>
    <row r="917" spans="1:1" ht="12.75" customHeight="1" x14ac:dyDescent="0.3">
      <c r="A917" s="30"/>
    </row>
    <row r="918" spans="1:1" ht="12.75" customHeight="1" x14ac:dyDescent="0.3">
      <c r="A918" s="30"/>
    </row>
    <row r="919" spans="1:1" ht="12.75" customHeight="1" x14ac:dyDescent="0.3">
      <c r="A919" s="30"/>
    </row>
    <row r="920" spans="1:1" ht="12.75" customHeight="1" x14ac:dyDescent="0.3">
      <c r="A920" s="30"/>
    </row>
    <row r="921" spans="1:1" ht="12.75" customHeight="1" x14ac:dyDescent="0.3">
      <c r="A921" s="30"/>
    </row>
    <row r="922" spans="1:1" ht="12.75" customHeight="1" x14ac:dyDescent="0.3">
      <c r="A922" s="30"/>
    </row>
    <row r="923" spans="1:1" ht="12.75" customHeight="1" x14ac:dyDescent="0.3">
      <c r="A923" s="30"/>
    </row>
    <row r="924" spans="1:1" ht="12.75" customHeight="1" x14ac:dyDescent="0.3">
      <c r="A924" s="30"/>
    </row>
    <row r="925" spans="1:1" ht="12.75" customHeight="1" x14ac:dyDescent="0.3">
      <c r="A925" s="30"/>
    </row>
    <row r="926" spans="1:1" ht="12.75" customHeight="1" x14ac:dyDescent="0.3">
      <c r="A926" s="30"/>
    </row>
    <row r="927" spans="1:1" ht="12.75" customHeight="1" x14ac:dyDescent="0.3">
      <c r="A927" s="30"/>
    </row>
    <row r="928" spans="1:1" ht="12.75" customHeight="1" x14ac:dyDescent="0.3">
      <c r="A928" s="30"/>
    </row>
    <row r="929" spans="1:1" ht="12.75" customHeight="1" x14ac:dyDescent="0.3">
      <c r="A929" s="30"/>
    </row>
    <row r="930" spans="1:1" ht="12.75" customHeight="1" x14ac:dyDescent="0.3">
      <c r="A930" s="30"/>
    </row>
    <row r="931" spans="1:1" ht="12.75" customHeight="1" x14ac:dyDescent="0.3">
      <c r="A931" s="30"/>
    </row>
    <row r="932" spans="1:1" ht="12.75" customHeight="1" x14ac:dyDescent="0.3">
      <c r="A932" s="30"/>
    </row>
    <row r="933" spans="1:1" ht="12.75" customHeight="1" x14ac:dyDescent="0.3">
      <c r="A933" s="30"/>
    </row>
    <row r="934" spans="1:1" ht="12.75" customHeight="1" x14ac:dyDescent="0.3">
      <c r="A934" s="30"/>
    </row>
    <row r="935" spans="1:1" ht="12.75" customHeight="1" x14ac:dyDescent="0.3">
      <c r="A935" s="30"/>
    </row>
    <row r="936" spans="1:1" ht="12.75" customHeight="1" x14ac:dyDescent="0.3">
      <c r="A936" s="30"/>
    </row>
    <row r="937" spans="1:1" ht="12.75" customHeight="1" x14ac:dyDescent="0.3">
      <c r="A937" s="30"/>
    </row>
    <row r="938" spans="1:1" ht="12.75" customHeight="1" x14ac:dyDescent="0.3">
      <c r="A938" s="30"/>
    </row>
    <row r="939" spans="1:1" ht="12.75" customHeight="1" x14ac:dyDescent="0.3">
      <c r="A939" s="30"/>
    </row>
    <row r="940" spans="1:1" ht="12.75" customHeight="1" x14ac:dyDescent="0.3">
      <c r="A940" s="30"/>
    </row>
    <row r="941" spans="1:1" ht="12.75" customHeight="1" x14ac:dyDescent="0.3">
      <c r="A941" s="30"/>
    </row>
    <row r="942" spans="1:1" ht="12.75" customHeight="1" x14ac:dyDescent="0.3">
      <c r="A942" s="30"/>
    </row>
    <row r="943" spans="1:1" ht="12.75" customHeight="1" x14ac:dyDescent="0.3">
      <c r="A943" s="30"/>
    </row>
    <row r="944" spans="1:1" ht="12.75" customHeight="1" x14ac:dyDescent="0.3">
      <c r="A944" s="30"/>
    </row>
    <row r="945" spans="1:1" ht="12.75" customHeight="1" x14ac:dyDescent="0.3">
      <c r="A945" s="30"/>
    </row>
    <row r="946" spans="1:1" ht="12.75" customHeight="1" x14ac:dyDescent="0.3">
      <c r="A946" s="30"/>
    </row>
    <row r="947" spans="1:1" ht="12.75" customHeight="1" x14ac:dyDescent="0.3">
      <c r="A947" s="30"/>
    </row>
    <row r="948" spans="1:1" ht="12.75" customHeight="1" x14ac:dyDescent="0.3">
      <c r="A948" s="30"/>
    </row>
    <row r="949" spans="1:1" ht="12.75" customHeight="1" x14ac:dyDescent="0.3">
      <c r="A949" s="30"/>
    </row>
    <row r="950" spans="1:1" ht="12.75" customHeight="1" x14ac:dyDescent="0.3">
      <c r="A950" s="30"/>
    </row>
    <row r="951" spans="1:1" ht="12.75" customHeight="1" x14ac:dyDescent="0.3">
      <c r="A951" s="30"/>
    </row>
    <row r="952" spans="1:1" ht="12.75" customHeight="1" x14ac:dyDescent="0.3">
      <c r="A952" s="30"/>
    </row>
    <row r="953" spans="1:1" ht="12.75" customHeight="1" x14ac:dyDescent="0.3">
      <c r="A953" s="30"/>
    </row>
    <row r="954" spans="1:1" ht="12.75" customHeight="1" x14ac:dyDescent="0.3">
      <c r="A954" s="30"/>
    </row>
    <row r="955" spans="1:1" ht="12.75" customHeight="1" x14ac:dyDescent="0.3">
      <c r="A955" s="30"/>
    </row>
    <row r="956" spans="1:1" ht="12.75" customHeight="1" x14ac:dyDescent="0.3">
      <c r="A956" s="30"/>
    </row>
    <row r="957" spans="1:1" ht="12.75" customHeight="1" x14ac:dyDescent="0.3">
      <c r="A957" s="30"/>
    </row>
    <row r="958" spans="1:1" ht="12.75" customHeight="1" x14ac:dyDescent="0.3">
      <c r="A958" s="30"/>
    </row>
    <row r="959" spans="1:1" ht="12.75" customHeight="1" x14ac:dyDescent="0.3">
      <c r="A959" s="30"/>
    </row>
    <row r="960" spans="1:1" ht="12.75" customHeight="1" x14ac:dyDescent="0.3">
      <c r="A960" s="30"/>
    </row>
    <row r="961" spans="1:1" ht="12.75" customHeight="1" x14ac:dyDescent="0.3">
      <c r="A961" s="30"/>
    </row>
    <row r="962" spans="1:1" ht="12.75" customHeight="1" x14ac:dyDescent="0.3">
      <c r="A962" s="30"/>
    </row>
    <row r="963" spans="1:1" ht="12.75" customHeight="1" x14ac:dyDescent="0.3">
      <c r="A963" s="30"/>
    </row>
    <row r="964" spans="1:1" ht="12.75" customHeight="1" x14ac:dyDescent="0.3">
      <c r="A964" s="30"/>
    </row>
    <row r="965" spans="1:1" ht="12.75" customHeight="1" x14ac:dyDescent="0.3">
      <c r="A965" s="30"/>
    </row>
    <row r="966" spans="1:1" ht="12.75" customHeight="1" x14ac:dyDescent="0.3">
      <c r="A966" s="30"/>
    </row>
    <row r="967" spans="1:1" ht="12.75" customHeight="1" x14ac:dyDescent="0.3">
      <c r="A967" s="30"/>
    </row>
    <row r="968" spans="1:1" ht="12.75" customHeight="1" x14ac:dyDescent="0.3">
      <c r="A968" s="30"/>
    </row>
    <row r="969" spans="1:1" ht="12.75" customHeight="1" x14ac:dyDescent="0.3">
      <c r="A969" s="30"/>
    </row>
  </sheetData>
  <mergeCells count="1">
    <mergeCell ref="D4:F4"/>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outlinePr summaryBelow="0" summaryRight="0"/>
  </sheetPr>
  <dimension ref="A1:Z998"/>
  <sheetViews>
    <sheetView workbookViewId="0"/>
  </sheetViews>
  <sheetFormatPr defaultColWidth="14.3984375" defaultRowHeight="15" customHeight="1" x14ac:dyDescent="0.3"/>
  <cols>
    <col min="1" max="1" width="12.69921875" customWidth="1"/>
    <col min="2" max="2" width="71.09765625" customWidth="1"/>
    <col min="3" max="3" width="11.296875" customWidth="1"/>
    <col min="4" max="4" width="16.59765625" customWidth="1"/>
    <col min="5" max="5" width="19.3984375" customWidth="1"/>
    <col min="6" max="6" width="18.09765625" customWidth="1"/>
    <col min="7" max="7" width="19.8984375" customWidth="1"/>
    <col min="8" max="9" width="14.09765625" customWidth="1"/>
    <col min="10" max="10" width="21.898437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74</v>
      </c>
      <c r="C2" s="32"/>
      <c r="D2" s="33" t="s">
        <v>75</v>
      </c>
      <c r="E2" s="77"/>
      <c r="F2" s="34" t="s">
        <v>76</v>
      </c>
      <c r="G2" s="32"/>
      <c r="H2" s="32"/>
      <c r="I2" s="32"/>
      <c r="J2" s="32"/>
      <c r="K2" s="32"/>
      <c r="L2" s="50"/>
      <c r="M2" s="50"/>
      <c r="N2" s="50"/>
      <c r="O2" s="50"/>
      <c r="P2" s="50"/>
      <c r="Q2" s="50"/>
      <c r="R2" s="50"/>
      <c r="S2" s="50"/>
      <c r="T2" s="50"/>
      <c r="U2" s="50"/>
      <c r="V2" s="50"/>
      <c r="W2" s="50"/>
      <c r="X2" s="50"/>
      <c r="Y2" s="50"/>
      <c r="Z2" s="50"/>
    </row>
    <row r="3" spans="1:26" ht="15.5" x14ac:dyDescent="0.35">
      <c r="A3" s="50"/>
      <c r="B3" s="31"/>
      <c r="C3" s="32"/>
      <c r="D3" s="78" t="s">
        <v>77</v>
      </c>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78</v>
      </c>
      <c r="C4" s="552"/>
      <c r="D4" s="552"/>
      <c r="E4" s="552"/>
      <c r="F4" s="552"/>
      <c r="G4" s="552"/>
      <c r="H4" s="552"/>
      <c r="I4" s="552"/>
      <c r="J4" s="555"/>
      <c r="K4" s="32"/>
      <c r="L4" s="50"/>
      <c r="M4" s="50"/>
      <c r="N4" s="50"/>
      <c r="O4" s="50"/>
      <c r="P4" s="50"/>
      <c r="Q4" s="50"/>
      <c r="R4" s="50"/>
      <c r="S4" s="50"/>
      <c r="T4" s="50"/>
      <c r="U4" s="50"/>
      <c r="V4" s="50"/>
      <c r="W4" s="50"/>
      <c r="X4" s="50"/>
      <c r="Y4" s="50"/>
      <c r="Z4" s="50"/>
    </row>
    <row r="5" spans="1:26" ht="15.5" x14ac:dyDescent="0.35">
      <c r="A5" s="50"/>
      <c r="B5" s="556" t="s">
        <v>79</v>
      </c>
      <c r="C5" s="546"/>
      <c r="D5" s="534"/>
      <c r="E5" s="81"/>
      <c r="F5" s="81"/>
      <c r="G5" s="81"/>
      <c r="H5" s="81"/>
      <c r="I5" s="81"/>
      <c r="J5" s="82"/>
      <c r="K5" s="32"/>
      <c r="L5" s="50"/>
      <c r="M5" s="50"/>
      <c r="N5" s="50"/>
      <c r="O5" s="50"/>
      <c r="P5" s="50"/>
      <c r="Q5" s="50"/>
      <c r="R5" s="50"/>
      <c r="S5" s="50"/>
      <c r="T5" s="50"/>
      <c r="U5" s="50"/>
      <c r="V5" s="50"/>
      <c r="W5" s="50"/>
      <c r="X5" s="50"/>
      <c r="Y5" s="50"/>
      <c r="Z5" s="50"/>
    </row>
    <row r="6" spans="1:26" ht="40.5" customHeight="1" x14ac:dyDescent="0.35">
      <c r="A6" s="50"/>
      <c r="B6" s="557" t="s">
        <v>80</v>
      </c>
      <c r="C6" s="546"/>
      <c r="D6" s="546"/>
      <c r="E6" s="546"/>
      <c r="F6" s="546"/>
      <c r="G6" s="546"/>
      <c r="H6" s="546"/>
      <c r="I6" s="546"/>
      <c r="J6" s="558"/>
      <c r="K6" s="32"/>
      <c r="L6" s="50"/>
      <c r="M6" s="50"/>
      <c r="N6" s="50"/>
      <c r="O6" s="50"/>
      <c r="P6" s="50"/>
      <c r="Q6" s="50"/>
      <c r="R6" s="50"/>
      <c r="S6" s="50"/>
      <c r="T6" s="50"/>
      <c r="U6" s="50"/>
      <c r="V6" s="50"/>
      <c r="W6" s="50"/>
      <c r="X6" s="50"/>
      <c r="Y6" s="50"/>
      <c r="Z6" s="50"/>
    </row>
    <row r="7" spans="1:26" ht="21.75" customHeight="1" x14ac:dyDescent="0.35">
      <c r="A7" s="50"/>
      <c r="B7" s="556" t="s">
        <v>81</v>
      </c>
      <c r="C7" s="546"/>
      <c r="D7" s="534"/>
      <c r="E7" s="81"/>
      <c r="F7" s="81"/>
      <c r="G7" s="81"/>
      <c r="H7" s="81"/>
      <c r="I7" s="81"/>
      <c r="J7" s="82"/>
      <c r="K7" s="32"/>
      <c r="L7" s="50"/>
      <c r="M7" s="50"/>
      <c r="N7" s="50"/>
      <c r="O7" s="50"/>
      <c r="P7" s="50"/>
      <c r="Q7" s="50"/>
      <c r="R7" s="50"/>
      <c r="S7" s="50"/>
      <c r="T7" s="50"/>
      <c r="U7" s="50"/>
      <c r="V7" s="50"/>
      <c r="W7" s="50"/>
      <c r="X7" s="50"/>
      <c r="Y7" s="50"/>
      <c r="Z7" s="50"/>
    </row>
    <row r="8" spans="1:26" ht="72.75" customHeight="1" x14ac:dyDescent="0.35">
      <c r="A8" s="50"/>
      <c r="B8" s="557" t="s">
        <v>82</v>
      </c>
      <c r="C8" s="546"/>
      <c r="D8" s="546"/>
      <c r="E8" s="546"/>
      <c r="F8" s="546"/>
      <c r="G8" s="546"/>
      <c r="H8" s="546"/>
      <c r="I8" s="546"/>
      <c r="J8" s="558"/>
      <c r="K8" s="32"/>
      <c r="L8" s="50"/>
      <c r="M8" s="50"/>
      <c r="N8" s="50"/>
      <c r="O8" s="50"/>
      <c r="P8" s="50"/>
      <c r="Q8" s="50"/>
      <c r="R8" s="50"/>
      <c r="S8" s="50"/>
      <c r="T8" s="50"/>
      <c r="U8" s="50"/>
      <c r="V8" s="50"/>
      <c r="W8" s="50"/>
      <c r="X8" s="50"/>
      <c r="Y8" s="50"/>
      <c r="Z8" s="50"/>
    </row>
    <row r="9" spans="1:26" ht="21.75" customHeight="1" x14ac:dyDescent="0.35">
      <c r="A9" s="50"/>
      <c r="B9" s="556" t="s">
        <v>83</v>
      </c>
      <c r="C9" s="546"/>
      <c r="D9" s="534"/>
      <c r="E9" s="81"/>
      <c r="F9" s="81"/>
      <c r="G9" s="81"/>
      <c r="H9" s="81"/>
      <c r="I9" s="81"/>
      <c r="J9" s="82"/>
      <c r="K9" s="32"/>
      <c r="L9" s="50"/>
      <c r="M9" s="50"/>
      <c r="N9" s="50"/>
      <c r="O9" s="50"/>
      <c r="P9" s="50"/>
      <c r="Q9" s="50"/>
      <c r="R9" s="50"/>
      <c r="S9" s="50"/>
      <c r="T9" s="50"/>
      <c r="U9" s="50"/>
      <c r="V9" s="50"/>
      <c r="W9" s="50"/>
      <c r="X9" s="50"/>
      <c r="Y9" s="50"/>
      <c r="Z9" s="50"/>
    </row>
    <row r="10" spans="1:26" ht="38.25" customHeight="1" x14ac:dyDescent="0.35">
      <c r="A10" s="50"/>
      <c r="B10" s="559" t="s">
        <v>84</v>
      </c>
      <c r="C10" s="560"/>
      <c r="D10" s="560"/>
      <c r="E10" s="560"/>
      <c r="F10" s="560"/>
      <c r="G10" s="560"/>
      <c r="H10" s="560"/>
      <c r="I10" s="560"/>
      <c r="J10" s="561"/>
      <c r="K10" s="32"/>
      <c r="L10" s="50"/>
      <c r="M10" s="50"/>
      <c r="N10" s="50"/>
      <c r="O10" s="50"/>
      <c r="P10" s="50"/>
      <c r="Q10" s="50"/>
      <c r="R10" s="50"/>
      <c r="S10" s="50"/>
      <c r="T10" s="50"/>
      <c r="U10" s="50"/>
      <c r="V10" s="50"/>
      <c r="W10" s="50"/>
      <c r="X10" s="50"/>
      <c r="Y10" s="50"/>
      <c r="Z10" s="50"/>
    </row>
    <row r="11" spans="1:26" ht="15" customHeight="1" x14ac:dyDescent="0.35">
      <c r="A11" s="50"/>
      <c r="B11" s="50"/>
      <c r="C11" s="50"/>
      <c r="D11" s="50"/>
      <c r="E11" s="50"/>
      <c r="F11" s="50"/>
      <c r="G11" s="50"/>
      <c r="H11" s="50"/>
      <c r="I11" s="50"/>
      <c r="J11" s="50"/>
      <c r="K11" s="50"/>
      <c r="L11" s="50"/>
      <c r="M11" s="50"/>
      <c r="N11" s="50"/>
      <c r="O11" s="50"/>
      <c r="P11" s="50"/>
      <c r="Q11" s="50"/>
      <c r="R11" s="50"/>
      <c r="S11" s="50"/>
      <c r="T11" s="50"/>
      <c r="U11" s="50"/>
      <c r="V11" s="50"/>
      <c r="W11" s="50"/>
      <c r="X11" s="50"/>
      <c r="Y11" s="50"/>
      <c r="Z11" s="50"/>
    </row>
    <row r="12" spans="1:26" ht="15" customHeight="1" x14ac:dyDescent="0.35">
      <c r="A12" s="50"/>
      <c r="B12" s="83" t="s">
        <v>85</v>
      </c>
      <c r="C12" s="84"/>
      <c r="D12" s="562" t="s">
        <v>86</v>
      </c>
      <c r="E12" s="552"/>
      <c r="F12" s="553"/>
      <c r="G12" s="84" t="s">
        <v>87</v>
      </c>
      <c r="H12" s="84"/>
      <c r="I12" s="85"/>
      <c r="J12" s="86"/>
      <c r="K12" s="50"/>
      <c r="L12" s="50"/>
      <c r="M12" s="50"/>
      <c r="N12" s="50"/>
      <c r="O12" s="50"/>
      <c r="P12" s="50"/>
      <c r="Q12" s="50"/>
      <c r="R12" s="50"/>
      <c r="S12" s="50"/>
      <c r="T12" s="50"/>
      <c r="U12" s="50"/>
      <c r="V12" s="50"/>
      <c r="W12" s="50"/>
      <c r="X12" s="50"/>
      <c r="Y12" s="50"/>
      <c r="Z12" s="50"/>
    </row>
    <row r="13" spans="1:26" ht="45" customHeight="1" x14ac:dyDescent="0.35">
      <c r="A13" s="50"/>
      <c r="B13" s="87" t="s">
        <v>88</v>
      </c>
      <c r="C13" s="88"/>
      <c r="D13" s="43" t="s">
        <v>89</v>
      </c>
      <c r="E13" s="43" t="s">
        <v>90</v>
      </c>
      <c r="F13" s="43" t="s">
        <v>91</v>
      </c>
      <c r="G13" s="563" t="s">
        <v>92</v>
      </c>
      <c r="H13" s="546"/>
      <c r="I13" s="546"/>
      <c r="J13" s="558"/>
      <c r="K13" s="50"/>
      <c r="L13" s="50"/>
      <c r="M13" s="50"/>
      <c r="N13" s="50"/>
      <c r="O13" s="50"/>
      <c r="P13" s="50"/>
      <c r="Q13" s="50"/>
      <c r="R13" s="50"/>
      <c r="S13" s="50"/>
      <c r="T13" s="50"/>
      <c r="U13" s="50"/>
      <c r="V13" s="50"/>
      <c r="W13" s="50"/>
      <c r="X13" s="50"/>
      <c r="Y13" s="50"/>
      <c r="Z13" s="50"/>
    </row>
    <row r="14" spans="1:26" ht="15.75" customHeight="1" x14ac:dyDescent="0.35">
      <c r="A14" s="50"/>
      <c r="B14" s="89" t="s">
        <v>93</v>
      </c>
      <c r="C14" s="88" t="s">
        <v>94</v>
      </c>
      <c r="D14" s="90">
        <v>1000</v>
      </c>
      <c r="E14" s="90">
        <v>1000</v>
      </c>
      <c r="F14" s="90">
        <v>1000</v>
      </c>
      <c r="G14" s="91"/>
      <c r="H14" s="91"/>
      <c r="I14" s="91"/>
      <c r="J14" s="92"/>
      <c r="K14" s="50"/>
      <c r="L14" s="50"/>
      <c r="M14" s="50"/>
      <c r="N14" s="50"/>
      <c r="O14" s="50"/>
      <c r="P14" s="50"/>
      <c r="Q14" s="50"/>
      <c r="R14" s="50"/>
      <c r="S14" s="50"/>
      <c r="T14" s="50"/>
      <c r="U14" s="50"/>
      <c r="V14" s="50"/>
      <c r="W14" s="50"/>
      <c r="X14" s="50"/>
      <c r="Y14" s="50"/>
      <c r="Z14" s="50"/>
    </row>
    <row r="15" spans="1:26" ht="15.75" customHeight="1" x14ac:dyDescent="0.35">
      <c r="A15" s="50"/>
      <c r="B15" s="89" t="s">
        <v>95</v>
      </c>
      <c r="C15" s="88" t="s">
        <v>94</v>
      </c>
      <c r="D15" s="90">
        <v>1000</v>
      </c>
      <c r="E15" s="90">
        <v>1000</v>
      </c>
      <c r="F15" s="90">
        <v>1000</v>
      </c>
      <c r="G15" s="91"/>
      <c r="H15" s="91"/>
      <c r="I15" s="91"/>
      <c r="J15" s="92"/>
      <c r="K15" s="50"/>
      <c r="L15" s="50"/>
      <c r="M15" s="50"/>
      <c r="N15" s="50"/>
      <c r="O15" s="50"/>
      <c r="P15" s="50"/>
      <c r="Q15" s="50"/>
      <c r="R15" s="50"/>
      <c r="S15" s="50"/>
      <c r="T15" s="50"/>
      <c r="U15" s="50"/>
      <c r="V15" s="50"/>
      <c r="W15" s="50"/>
      <c r="X15" s="50"/>
      <c r="Y15" s="50"/>
      <c r="Z15" s="50"/>
    </row>
    <row r="16" spans="1:26" ht="15.75" customHeight="1" x14ac:dyDescent="0.35">
      <c r="A16" s="50"/>
      <c r="B16" s="89" t="s">
        <v>96</v>
      </c>
      <c r="C16" s="88" t="s">
        <v>94</v>
      </c>
      <c r="D16" s="90">
        <v>1000</v>
      </c>
      <c r="E16" s="90">
        <v>1000</v>
      </c>
      <c r="F16" s="90">
        <v>1000</v>
      </c>
      <c r="G16" s="91"/>
      <c r="H16" s="91"/>
      <c r="I16" s="91"/>
      <c r="J16" s="92"/>
      <c r="K16" s="50"/>
      <c r="L16" s="50"/>
      <c r="M16" s="50"/>
      <c r="N16" s="50"/>
      <c r="O16" s="50"/>
      <c r="P16" s="50"/>
      <c r="Q16" s="50"/>
      <c r="R16" s="50"/>
      <c r="S16" s="50"/>
      <c r="T16" s="50"/>
      <c r="U16" s="50"/>
      <c r="V16" s="50"/>
      <c r="W16" s="50"/>
      <c r="X16" s="50"/>
      <c r="Y16" s="50"/>
      <c r="Z16" s="50"/>
    </row>
    <row r="17" spans="1:26" ht="15.75" customHeight="1" x14ac:dyDescent="0.35">
      <c r="A17" s="50"/>
      <c r="B17" s="89" t="s">
        <v>97</v>
      </c>
      <c r="C17" s="88" t="s">
        <v>94</v>
      </c>
      <c r="D17" s="90">
        <v>1000</v>
      </c>
      <c r="E17" s="90">
        <v>1000</v>
      </c>
      <c r="F17" s="90">
        <v>1000</v>
      </c>
      <c r="G17" s="91"/>
      <c r="H17" s="91"/>
      <c r="I17" s="91"/>
      <c r="J17" s="92"/>
      <c r="K17" s="50"/>
      <c r="L17" s="50"/>
      <c r="M17" s="50"/>
      <c r="N17" s="50"/>
      <c r="O17" s="50"/>
      <c r="P17" s="50"/>
      <c r="Q17" s="50"/>
      <c r="R17" s="50"/>
      <c r="S17" s="50"/>
      <c r="T17" s="50"/>
      <c r="U17" s="50"/>
      <c r="V17" s="50"/>
      <c r="W17" s="50"/>
      <c r="X17" s="50"/>
      <c r="Y17" s="50"/>
      <c r="Z17" s="50"/>
    </row>
    <row r="18" spans="1:26" ht="15.75" customHeight="1" x14ac:dyDescent="0.35">
      <c r="A18" s="50"/>
      <c r="B18" s="89" t="s">
        <v>98</v>
      </c>
      <c r="C18" s="88" t="s">
        <v>94</v>
      </c>
      <c r="D18" s="90">
        <v>1000</v>
      </c>
      <c r="E18" s="90">
        <v>1000</v>
      </c>
      <c r="F18" s="90">
        <v>1000</v>
      </c>
      <c r="G18" s="91"/>
      <c r="H18" s="91"/>
      <c r="I18" s="91"/>
      <c r="J18" s="92"/>
      <c r="K18" s="50"/>
      <c r="L18" s="50"/>
      <c r="M18" s="50"/>
      <c r="N18" s="50"/>
      <c r="O18" s="50"/>
      <c r="P18" s="50"/>
      <c r="Q18" s="50"/>
      <c r="R18" s="50"/>
      <c r="S18" s="50"/>
      <c r="T18" s="50"/>
      <c r="U18" s="50"/>
      <c r="V18" s="50"/>
      <c r="W18" s="50"/>
      <c r="X18" s="50"/>
      <c r="Y18" s="50"/>
      <c r="Z18" s="50"/>
    </row>
    <row r="19" spans="1:26" ht="15.75" customHeight="1" x14ac:dyDescent="0.35">
      <c r="A19" s="50"/>
      <c r="B19" s="89" t="s">
        <v>99</v>
      </c>
      <c r="C19" s="88" t="s">
        <v>94</v>
      </c>
      <c r="D19" s="90">
        <v>1000</v>
      </c>
      <c r="E19" s="90">
        <v>1000</v>
      </c>
      <c r="F19" s="90">
        <v>1000</v>
      </c>
      <c r="G19" s="91"/>
      <c r="H19" s="91"/>
      <c r="I19" s="91"/>
      <c r="J19" s="92"/>
      <c r="K19" s="50"/>
      <c r="L19" s="50"/>
      <c r="M19" s="50"/>
      <c r="N19" s="50"/>
      <c r="O19" s="50"/>
      <c r="P19" s="50"/>
      <c r="Q19" s="50"/>
      <c r="R19" s="50"/>
      <c r="S19" s="50"/>
      <c r="T19" s="50"/>
      <c r="U19" s="50"/>
      <c r="V19" s="50"/>
      <c r="W19" s="50"/>
      <c r="X19" s="50"/>
      <c r="Y19" s="50"/>
      <c r="Z19" s="50"/>
    </row>
    <row r="20" spans="1:26" ht="15.75" customHeight="1" x14ac:dyDescent="0.35">
      <c r="A20" s="50"/>
      <c r="B20" s="89" t="s">
        <v>100</v>
      </c>
      <c r="C20" s="88" t="s">
        <v>94</v>
      </c>
      <c r="D20" s="90">
        <v>1000</v>
      </c>
      <c r="E20" s="90">
        <v>1000</v>
      </c>
      <c r="F20" s="90">
        <v>1000</v>
      </c>
      <c r="G20" s="91"/>
      <c r="H20" s="91"/>
      <c r="I20" s="91"/>
      <c r="J20" s="92"/>
      <c r="K20" s="50"/>
      <c r="L20" s="50"/>
      <c r="M20" s="50"/>
      <c r="N20" s="50"/>
      <c r="O20" s="50"/>
      <c r="P20" s="50"/>
      <c r="Q20" s="50"/>
      <c r="R20" s="50"/>
      <c r="S20" s="50"/>
      <c r="T20" s="50"/>
      <c r="U20" s="50"/>
      <c r="V20" s="50"/>
      <c r="W20" s="50"/>
      <c r="X20" s="50"/>
      <c r="Y20" s="50"/>
      <c r="Z20" s="50"/>
    </row>
    <row r="21" spans="1:26" ht="15.75" customHeight="1" x14ac:dyDescent="0.35">
      <c r="A21" s="50"/>
      <c r="B21" s="89" t="s">
        <v>101</v>
      </c>
      <c r="C21" s="88" t="s">
        <v>94</v>
      </c>
      <c r="D21" s="90">
        <v>1000</v>
      </c>
      <c r="E21" s="90">
        <v>1000</v>
      </c>
      <c r="F21" s="90">
        <v>1000</v>
      </c>
      <c r="G21" s="91"/>
      <c r="H21" s="91"/>
      <c r="I21" s="91"/>
      <c r="J21" s="92"/>
      <c r="K21" s="50"/>
      <c r="L21" s="50"/>
      <c r="M21" s="50"/>
      <c r="N21" s="50"/>
      <c r="O21" s="50"/>
      <c r="P21" s="50"/>
      <c r="Q21" s="50"/>
      <c r="R21" s="50"/>
      <c r="S21" s="50"/>
      <c r="T21" s="50"/>
      <c r="U21" s="50"/>
      <c r="V21" s="50"/>
      <c r="W21" s="50"/>
      <c r="X21" s="50"/>
      <c r="Y21" s="50"/>
      <c r="Z21" s="50"/>
    </row>
    <row r="22" spans="1:26" ht="15.75" customHeight="1" x14ac:dyDescent="0.35">
      <c r="A22" s="50"/>
      <c r="B22" s="89" t="s">
        <v>102</v>
      </c>
      <c r="C22" s="88" t="s">
        <v>94</v>
      </c>
      <c r="D22" s="90">
        <v>1000</v>
      </c>
      <c r="E22" s="90">
        <v>1000</v>
      </c>
      <c r="F22" s="90">
        <v>1000</v>
      </c>
      <c r="G22" s="91"/>
      <c r="H22" s="91"/>
      <c r="I22" s="91"/>
      <c r="J22" s="92"/>
      <c r="K22" s="50"/>
      <c r="L22" s="50"/>
      <c r="M22" s="50"/>
      <c r="N22" s="50"/>
      <c r="O22" s="50"/>
      <c r="P22" s="50"/>
      <c r="Q22" s="50"/>
      <c r="R22" s="50"/>
      <c r="S22" s="50"/>
      <c r="T22" s="50"/>
      <c r="U22" s="50"/>
      <c r="V22" s="50"/>
      <c r="W22" s="50"/>
      <c r="X22" s="50"/>
      <c r="Y22" s="50"/>
      <c r="Z22" s="50"/>
    </row>
    <row r="23" spans="1:26" ht="15.75" customHeight="1" x14ac:dyDescent="0.35">
      <c r="A23" s="50"/>
      <c r="B23" s="89" t="s">
        <v>103</v>
      </c>
      <c r="C23" s="88" t="s">
        <v>94</v>
      </c>
      <c r="D23" s="90">
        <v>1000</v>
      </c>
      <c r="E23" s="90">
        <v>1000</v>
      </c>
      <c r="F23" s="90">
        <v>1000</v>
      </c>
      <c r="G23" s="91"/>
      <c r="H23" s="91"/>
      <c r="I23" s="91"/>
      <c r="J23" s="92"/>
      <c r="K23" s="50"/>
      <c r="L23" s="50"/>
      <c r="M23" s="50"/>
      <c r="N23" s="50"/>
      <c r="O23" s="50"/>
      <c r="P23" s="50"/>
      <c r="Q23" s="50"/>
      <c r="R23" s="50"/>
      <c r="S23" s="50"/>
      <c r="T23" s="50"/>
      <c r="U23" s="50"/>
      <c r="V23" s="50"/>
      <c r="W23" s="50"/>
      <c r="X23" s="50"/>
      <c r="Y23" s="50"/>
      <c r="Z23" s="50"/>
    </row>
    <row r="24" spans="1:26" ht="15.75" customHeight="1" x14ac:dyDescent="0.35">
      <c r="A24" s="50"/>
      <c r="B24" s="93" t="s">
        <v>65</v>
      </c>
      <c r="C24" s="88" t="s">
        <v>94</v>
      </c>
      <c r="D24" s="94">
        <f t="shared" ref="D24:F24" si="0">SUM(D14:D23)</f>
        <v>10000</v>
      </c>
      <c r="E24" s="94">
        <f t="shared" si="0"/>
        <v>10000</v>
      </c>
      <c r="F24" s="94">
        <f t="shared" si="0"/>
        <v>10000</v>
      </c>
      <c r="G24" s="91"/>
      <c r="H24" s="91"/>
      <c r="I24" s="91"/>
      <c r="J24" s="92"/>
      <c r="K24" s="50"/>
      <c r="L24" s="50"/>
      <c r="M24" s="50"/>
      <c r="N24" s="50"/>
      <c r="O24" s="50"/>
      <c r="P24" s="50"/>
      <c r="Q24" s="50"/>
      <c r="R24" s="50"/>
      <c r="S24" s="50"/>
      <c r="T24" s="50"/>
      <c r="U24" s="50"/>
      <c r="V24" s="50"/>
      <c r="W24" s="50"/>
      <c r="X24" s="50"/>
      <c r="Y24" s="50"/>
      <c r="Z24" s="50"/>
    </row>
    <row r="25" spans="1:26" ht="36" customHeight="1" x14ac:dyDescent="0.35">
      <c r="A25" s="50"/>
      <c r="B25" s="87" t="s">
        <v>104</v>
      </c>
      <c r="C25" s="88"/>
      <c r="D25" s="43" t="s">
        <v>89</v>
      </c>
      <c r="E25" s="43" t="s">
        <v>90</v>
      </c>
      <c r="F25" s="43" t="s">
        <v>91</v>
      </c>
      <c r="G25" s="563" t="s">
        <v>92</v>
      </c>
      <c r="H25" s="546"/>
      <c r="I25" s="546"/>
      <c r="J25" s="558"/>
      <c r="K25" s="50"/>
      <c r="L25" s="50"/>
      <c r="M25" s="50"/>
      <c r="N25" s="50"/>
      <c r="O25" s="50"/>
      <c r="P25" s="50"/>
      <c r="Q25" s="50"/>
      <c r="R25" s="50"/>
      <c r="S25" s="50"/>
      <c r="T25" s="50"/>
      <c r="U25" s="50"/>
      <c r="V25" s="50"/>
      <c r="W25" s="50"/>
      <c r="X25" s="50"/>
      <c r="Y25" s="50"/>
      <c r="Z25" s="50"/>
    </row>
    <row r="26" spans="1:26" ht="15.75" customHeight="1" x14ac:dyDescent="0.35">
      <c r="A26" s="50"/>
      <c r="B26" s="89" t="s">
        <v>93</v>
      </c>
      <c r="C26" s="88" t="s">
        <v>94</v>
      </c>
      <c r="D26" s="90">
        <v>100</v>
      </c>
      <c r="E26" s="90">
        <v>100</v>
      </c>
      <c r="F26" s="90">
        <v>100</v>
      </c>
      <c r="G26" s="91"/>
      <c r="H26" s="91"/>
      <c r="I26" s="91"/>
      <c r="J26" s="92"/>
      <c r="K26" s="50"/>
      <c r="L26" s="50"/>
      <c r="M26" s="50"/>
      <c r="N26" s="50"/>
      <c r="O26" s="50"/>
      <c r="P26" s="50"/>
      <c r="Q26" s="50"/>
      <c r="R26" s="50"/>
      <c r="S26" s="50"/>
      <c r="T26" s="50"/>
      <c r="U26" s="50"/>
      <c r="V26" s="50"/>
      <c r="W26" s="50"/>
      <c r="X26" s="50"/>
      <c r="Y26" s="50"/>
      <c r="Z26" s="50"/>
    </row>
    <row r="27" spans="1:26" ht="15.75" customHeight="1" x14ac:dyDescent="0.35">
      <c r="A27" s="50"/>
      <c r="B27" s="89" t="s">
        <v>95</v>
      </c>
      <c r="C27" s="88" t="s">
        <v>94</v>
      </c>
      <c r="D27" s="90">
        <v>100</v>
      </c>
      <c r="E27" s="90">
        <v>100</v>
      </c>
      <c r="F27" s="90">
        <v>100</v>
      </c>
      <c r="G27" s="91"/>
      <c r="H27" s="91"/>
      <c r="I27" s="91"/>
      <c r="J27" s="92"/>
      <c r="K27" s="50"/>
      <c r="L27" s="50"/>
      <c r="M27" s="50"/>
      <c r="N27" s="50"/>
      <c r="O27" s="50"/>
      <c r="P27" s="50"/>
      <c r="Q27" s="50"/>
      <c r="R27" s="50"/>
      <c r="S27" s="50"/>
      <c r="T27" s="50"/>
      <c r="U27" s="50"/>
      <c r="V27" s="50"/>
      <c r="W27" s="50"/>
      <c r="X27" s="50"/>
      <c r="Y27" s="50"/>
      <c r="Z27" s="50"/>
    </row>
    <row r="28" spans="1:26" ht="15.75" customHeight="1" x14ac:dyDescent="0.35">
      <c r="A28" s="50"/>
      <c r="B28" s="89" t="s">
        <v>96</v>
      </c>
      <c r="C28" s="88" t="s">
        <v>94</v>
      </c>
      <c r="D28" s="90">
        <v>100</v>
      </c>
      <c r="E28" s="90">
        <v>100</v>
      </c>
      <c r="F28" s="90">
        <v>100</v>
      </c>
      <c r="G28" s="91"/>
      <c r="H28" s="91"/>
      <c r="I28" s="91"/>
      <c r="J28" s="92"/>
      <c r="K28" s="50"/>
      <c r="L28" s="50"/>
      <c r="M28" s="50"/>
      <c r="N28" s="50"/>
      <c r="O28" s="50"/>
      <c r="P28" s="50"/>
      <c r="Q28" s="50"/>
      <c r="R28" s="50"/>
      <c r="S28" s="50"/>
      <c r="T28" s="50"/>
      <c r="U28" s="50"/>
      <c r="V28" s="50"/>
      <c r="W28" s="50"/>
      <c r="X28" s="50"/>
      <c r="Y28" s="50"/>
      <c r="Z28" s="50"/>
    </row>
    <row r="29" spans="1:26" ht="15.75" customHeight="1" x14ac:dyDescent="0.35">
      <c r="A29" s="50"/>
      <c r="B29" s="89" t="s">
        <v>97</v>
      </c>
      <c r="C29" s="88" t="s">
        <v>94</v>
      </c>
      <c r="D29" s="90">
        <v>100</v>
      </c>
      <c r="E29" s="90">
        <v>100</v>
      </c>
      <c r="F29" s="90">
        <v>100</v>
      </c>
      <c r="G29" s="91"/>
      <c r="H29" s="91"/>
      <c r="I29" s="91"/>
      <c r="J29" s="92"/>
      <c r="K29" s="50"/>
      <c r="L29" s="50"/>
      <c r="M29" s="50"/>
      <c r="N29" s="50"/>
      <c r="O29" s="50"/>
      <c r="P29" s="50"/>
      <c r="Q29" s="50"/>
      <c r="R29" s="50"/>
      <c r="S29" s="50"/>
      <c r="T29" s="50"/>
      <c r="U29" s="50"/>
      <c r="V29" s="50"/>
      <c r="W29" s="50"/>
      <c r="X29" s="50"/>
      <c r="Y29" s="50"/>
      <c r="Z29" s="50"/>
    </row>
    <row r="30" spans="1:26" ht="15.75" customHeight="1" x14ac:dyDescent="0.35">
      <c r="A30" s="50"/>
      <c r="B30" s="89" t="s">
        <v>98</v>
      </c>
      <c r="C30" s="88" t="s">
        <v>94</v>
      </c>
      <c r="D30" s="90">
        <v>100</v>
      </c>
      <c r="E30" s="90">
        <v>100</v>
      </c>
      <c r="F30" s="90">
        <v>100</v>
      </c>
      <c r="G30" s="91"/>
      <c r="H30" s="91"/>
      <c r="I30" s="91"/>
      <c r="J30" s="92"/>
      <c r="K30" s="50"/>
      <c r="L30" s="50"/>
      <c r="M30" s="50"/>
      <c r="N30" s="50"/>
      <c r="O30" s="50"/>
      <c r="P30" s="50"/>
      <c r="Q30" s="50"/>
      <c r="R30" s="50"/>
      <c r="S30" s="50"/>
      <c r="T30" s="50"/>
      <c r="U30" s="50"/>
      <c r="V30" s="50"/>
      <c r="W30" s="50"/>
      <c r="X30" s="50"/>
      <c r="Y30" s="50"/>
      <c r="Z30" s="50"/>
    </row>
    <row r="31" spans="1:26" ht="15.75" customHeight="1" x14ac:dyDescent="0.35">
      <c r="A31" s="50"/>
      <c r="B31" s="89" t="s">
        <v>99</v>
      </c>
      <c r="C31" s="88" t="s">
        <v>94</v>
      </c>
      <c r="D31" s="90">
        <v>100</v>
      </c>
      <c r="E31" s="90">
        <v>100</v>
      </c>
      <c r="F31" s="90">
        <v>100</v>
      </c>
      <c r="G31" s="91"/>
      <c r="H31" s="91"/>
      <c r="I31" s="91"/>
      <c r="J31" s="92"/>
      <c r="K31" s="50"/>
      <c r="L31" s="50"/>
      <c r="M31" s="50"/>
      <c r="N31" s="50"/>
      <c r="O31" s="50"/>
      <c r="P31" s="50"/>
      <c r="Q31" s="50"/>
      <c r="R31" s="50"/>
      <c r="S31" s="50"/>
      <c r="T31" s="50"/>
      <c r="U31" s="50"/>
      <c r="V31" s="50"/>
      <c r="W31" s="50"/>
      <c r="X31" s="50"/>
      <c r="Y31" s="50"/>
      <c r="Z31" s="50"/>
    </row>
    <row r="32" spans="1:26" ht="15.75" customHeight="1" x14ac:dyDescent="0.35">
      <c r="A32" s="50"/>
      <c r="B32" s="89" t="s">
        <v>100</v>
      </c>
      <c r="C32" s="88" t="s">
        <v>94</v>
      </c>
      <c r="D32" s="90">
        <v>100</v>
      </c>
      <c r="E32" s="90">
        <v>100</v>
      </c>
      <c r="F32" s="90">
        <v>100</v>
      </c>
      <c r="G32" s="91"/>
      <c r="H32" s="91"/>
      <c r="I32" s="91"/>
      <c r="J32" s="92"/>
      <c r="K32" s="50"/>
      <c r="L32" s="50"/>
      <c r="M32" s="50"/>
      <c r="N32" s="50"/>
      <c r="O32" s="50"/>
      <c r="P32" s="50"/>
      <c r="Q32" s="50"/>
      <c r="R32" s="50"/>
      <c r="S32" s="50"/>
      <c r="T32" s="50"/>
      <c r="U32" s="50"/>
      <c r="V32" s="50"/>
      <c r="W32" s="50"/>
      <c r="X32" s="50"/>
      <c r="Y32" s="50"/>
      <c r="Z32" s="50"/>
    </row>
    <row r="33" spans="1:26" ht="15.75" customHeight="1" x14ac:dyDescent="0.35">
      <c r="A33" s="50"/>
      <c r="B33" s="89" t="s">
        <v>101</v>
      </c>
      <c r="C33" s="88" t="s">
        <v>94</v>
      </c>
      <c r="D33" s="90">
        <v>100</v>
      </c>
      <c r="E33" s="90">
        <v>100</v>
      </c>
      <c r="F33" s="90">
        <v>100</v>
      </c>
      <c r="G33" s="91"/>
      <c r="H33" s="91"/>
      <c r="I33" s="91"/>
      <c r="J33" s="92"/>
      <c r="K33" s="50"/>
      <c r="L33" s="50"/>
      <c r="M33" s="50"/>
      <c r="N33" s="50"/>
      <c r="O33" s="50"/>
      <c r="P33" s="50"/>
      <c r="Q33" s="50"/>
      <c r="R33" s="50"/>
      <c r="S33" s="50"/>
      <c r="T33" s="50"/>
      <c r="U33" s="50"/>
      <c r="V33" s="50"/>
      <c r="W33" s="50"/>
      <c r="X33" s="50"/>
      <c r="Y33" s="50"/>
      <c r="Z33" s="50"/>
    </row>
    <row r="34" spans="1:26" ht="15.75" customHeight="1" x14ac:dyDescent="0.35">
      <c r="A34" s="50"/>
      <c r="B34" s="89" t="s">
        <v>102</v>
      </c>
      <c r="C34" s="88" t="s">
        <v>94</v>
      </c>
      <c r="D34" s="90">
        <v>100</v>
      </c>
      <c r="E34" s="90">
        <v>100</v>
      </c>
      <c r="F34" s="90">
        <v>100</v>
      </c>
      <c r="G34" s="91"/>
      <c r="H34" s="91"/>
      <c r="I34" s="91"/>
      <c r="J34" s="92"/>
      <c r="K34" s="50"/>
      <c r="L34" s="50"/>
      <c r="M34" s="50"/>
      <c r="N34" s="50"/>
      <c r="O34" s="50"/>
      <c r="P34" s="50"/>
      <c r="Q34" s="50"/>
      <c r="R34" s="50"/>
      <c r="S34" s="50"/>
      <c r="T34" s="50"/>
      <c r="U34" s="50"/>
      <c r="V34" s="50"/>
      <c r="W34" s="50"/>
      <c r="X34" s="50"/>
      <c r="Y34" s="50"/>
      <c r="Z34" s="50"/>
    </row>
    <row r="35" spans="1:26" ht="15.75" customHeight="1" x14ac:dyDescent="0.35">
      <c r="A35" s="50"/>
      <c r="B35" s="89" t="s">
        <v>103</v>
      </c>
      <c r="C35" s="88" t="s">
        <v>94</v>
      </c>
      <c r="D35" s="90">
        <v>100</v>
      </c>
      <c r="E35" s="90">
        <v>100</v>
      </c>
      <c r="F35" s="90">
        <v>100</v>
      </c>
      <c r="G35" s="91"/>
      <c r="H35" s="91"/>
      <c r="I35" s="91"/>
      <c r="J35" s="92"/>
      <c r="K35" s="50"/>
      <c r="L35" s="50"/>
      <c r="M35" s="50"/>
      <c r="N35" s="50"/>
      <c r="O35" s="50"/>
      <c r="P35" s="50"/>
      <c r="Q35" s="50"/>
      <c r="R35" s="50"/>
      <c r="S35" s="50"/>
      <c r="T35" s="50"/>
      <c r="U35" s="50"/>
      <c r="V35" s="50"/>
      <c r="W35" s="50"/>
      <c r="X35" s="50"/>
      <c r="Y35" s="50"/>
      <c r="Z35" s="50"/>
    </row>
    <row r="36" spans="1:26" ht="15.75" customHeight="1" x14ac:dyDescent="0.35">
      <c r="A36" s="50"/>
      <c r="B36" s="93" t="s">
        <v>65</v>
      </c>
      <c r="C36" s="88" t="s">
        <v>94</v>
      </c>
      <c r="D36" s="94">
        <f t="shared" ref="D36:F36" si="1">SUM(D26:D35)</f>
        <v>1000</v>
      </c>
      <c r="E36" s="94">
        <f t="shared" si="1"/>
        <v>1000</v>
      </c>
      <c r="F36" s="94">
        <f t="shared" si="1"/>
        <v>1000</v>
      </c>
      <c r="G36" s="91"/>
      <c r="H36" s="91"/>
      <c r="I36" s="91"/>
      <c r="J36" s="92"/>
      <c r="K36" s="50"/>
      <c r="L36" s="50"/>
      <c r="M36" s="50"/>
      <c r="N36" s="50"/>
      <c r="O36" s="50"/>
      <c r="P36" s="50"/>
      <c r="Q36" s="50"/>
      <c r="R36" s="50"/>
      <c r="S36" s="50"/>
      <c r="T36" s="50"/>
      <c r="U36" s="50"/>
      <c r="V36" s="50"/>
      <c r="W36" s="50"/>
      <c r="X36" s="50"/>
      <c r="Y36" s="50"/>
      <c r="Z36" s="50"/>
    </row>
    <row r="37" spans="1:26" ht="33.75" customHeight="1" x14ac:dyDescent="0.35">
      <c r="A37" s="50"/>
      <c r="B37" s="87" t="s">
        <v>105</v>
      </c>
      <c r="C37" s="88"/>
      <c r="D37" s="43" t="s">
        <v>89</v>
      </c>
      <c r="E37" s="43" t="s">
        <v>90</v>
      </c>
      <c r="F37" s="43" t="s">
        <v>91</v>
      </c>
      <c r="G37" s="563" t="s">
        <v>106</v>
      </c>
      <c r="H37" s="546"/>
      <c r="I37" s="546"/>
      <c r="J37" s="558"/>
      <c r="K37" s="50"/>
      <c r="L37" s="50"/>
      <c r="M37" s="50"/>
      <c r="N37" s="50"/>
      <c r="O37" s="50"/>
      <c r="P37" s="50"/>
      <c r="Q37" s="50"/>
      <c r="R37" s="50"/>
      <c r="S37" s="50"/>
      <c r="T37" s="50"/>
      <c r="U37" s="50"/>
      <c r="V37" s="50"/>
      <c r="W37" s="50"/>
      <c r="X37" s="50"/>
      <c r="Y37" s="50"/>
      <c r="Z37" s="50"/>
    </row>
    <row r="38" spans="1:26" ht="15.75" customHeight="1" x14ac:dyDescent="0.35">
      <c r="A38" s="50"/>
      <c r="B38" s="89" t="s">
        <v>93</v>
      </c>
      <c r="C38" s="88"/>
      <c r="D38" s="95">
        <v>100</v>
      </c>
      <c r="E38" s="95">
        <v>100</v>
      </c>
      <c r="F38" s="95">
        <v>100</v>
      </c>
      <c r="G38" s="91"/>
      <c r="H38" s="91"/>
      <c r="I38" s="91"/>
      <c r="J38" s="92"/>
      <c r="K38" s="50"/>
      <c r="L38" s="50"/>
      <c r="M38" s="50"/>
      <c r="N38" s="50"/>
      <c r="O38" s="50"/>
      <c r="P38" s="50"/>
      <c r="Q38" s="50"/>
      <c r="R38" s="50"/>
      <c r="S38" s="50"/>
      <c r="T38" s="50"/>
      <c r="U38" s="50"/>
      <c r="V38" s="50"/>
      <c r="W38" s="50"/>
      <c r="X38" s="50"/>
      <c r="Y38" s="50"/>
      <c r="Z38" s="50"/>
    </row>
    <row r="39" spans="1:26" ht="15.75" customHeight="1" x14ac:dyDescent="0.35">
      <c r="A39" s="50"/>
      <c r="B39" s="89" t="s">
        <v>95</v>
      </c>
      <c r="C39" s="88"/>
      <c r="D39" s="95">
        <v>100</v>
      </c>
      <c r="E39" s="95">
        <v>100</v>
      </c>
      <c r="F39" s="95">
        <v>100</v>
      </c>
      <c r="G39" s="91"/>
      <c r="H39" s="91"/>
      <c r="I39" s="91"/>
      <c r="J39" s="92"/>
      <c r="K39" s="50"/>
      <c r="L39" s="50"/>
      <c r="M39" s="50"/>
      <c r="N39" s="50"/>
      <c r="O39" s="50"/>
      <c r="P39" s="50"/>
      <c r="Q39" s="50"/>
      <c r="R39" s="50"/>
      <c r="S39" s="50"/>
      <c r="T39" s="50"/>
      <c r="U39" s="50"/>
      <c r="V39" s="50"/>
      <c r="W39" s="50"/>
      <c r="X39" s="50"/>
      <c r="Y39" s="50"/>
      <c r="Z39" s="50"/>
    </row>
    <row r="40" spans="1:26" ht="15.75" customHeight="1" x14ac:dyDescent="0.35">
      <c r="A40" s="50"/>
      <c r="B40" s="89" t="s">
        <v>96</v>
      </c>
      <c r="C40" s="88"/>
      <c r="D40" s="95">
        <v>100</v>
      </c>
      <c r="E40" s="95">
        <v>100</v>
      </c>
      <c r="F40" s="95">
        <v>100</v>
      </c>
      <c r="G40" s="91"/>
      <c r="H40" s="91"/>
      <c r="I40" s="91"/>
      <c r="J40" s="92"/>
      <c r="K40" s="50"/>
      <c r="L40" s="50"/>
      <c r="M40" s="50"/>
      <c r="N40" s="50"/>
      <c r="O40" s="50"/>
      <c r="P40" s="50"/>
      <c r="Q40" s="50"/>
      <c r="R40" s="50"/>
      <c r="S40" s="50"/>
      <c r="T40" s="50"/>
      <c r="U40" s="50"/>
      <c r="V40" s="50"/>
      <c r="W40" s="50"/>
      <c r="X40" s="50"/>
      <c r="Y40" s="50"/>
      <c r="Z40" s="50"/>
    </row>
    <row r="41" spans="1:26" ht="15.75" customHeight="1" x14ac:dyDescent="0.35">
      <c r="A41" s="50"/>
      <c r="B41" s="89" t="s">
        <v>97</v>
      </c>
      <c r="C41" s="88"/>
      <c r="D41" s="95">
        <v>100</v>
      </c>
      <c r="E41" s="95">
        <v>100</v>
      </c>
      <c r="F41" s="95">
        <v>100</v>
      </c>
      <c r="G41" s="91"/>
      <c r="H41" s="91"/>
      <c r="I41" s="91"/>
      <c r="J41" s="92"/>
      <c r="K41" s="50"/>
      <c r="L41" s="50"/>
      <c r="M41" s="50"/>
      <c r="N41" s="50"/>
      <c r="O41" s="50"/>
      <c r="P41" s="50"/>
      <c r="Q41" s="50"/>
      <c r="R41" s="50"/>
      <c r="S41" s="50"/>
      <c r="T41" s="50"/>
      <c r="U41" s="50"/>
      <c r="V41" s="50"/>
      <c r="W41" s="50"/>
      <c r="X41" s="50"/>
      <c r="Y41" s="50"/>
      <c r="Z41" s="50"/>
    </row>
    <row r="42" spans="1:26" ht="15.75" customHeight="1" x14ac:dyDescent="0.35">
      <c r="A42" s="50"/>
      <c r="B42" s="89" t="s">
        <v>98</v>
      </c>
      <c r="C42" s="88"/>
      <c r="D42" s="95">
        <v>100</v>
      </c>
      <c r="E42" s="95">
        <v>100</v>
      </c>
      <c r="F42" s="95">
        <v>100</v>
      </c>
      <c r="G42" s="91"/>
      <c r="H42" s="91"/>
      <c r="I42" s="91"/>
      <c r="J42" s="92"/>
      <c r="K42" s="50"/>
      <c r="L42" s="50"/>
      <c r="M42" s="50"/>
      <c r="N42" s="50"/>
      <c r="O42" s="50"/>
      <c r="P42" s="50"/>
      <c r="Q42" s="50"/>
      <c r="R42" s="50"/>
      <c r="S42" s="50"/>
      <c r="T42" s="50"/>
      <c r="U42" s="50"/>
      <c r="V42" s="50"/>
      <c r="W42" s="50"/>
      <c r="X42" s="50"/>
      <c r="Y42" s="50"/>
      <c r="Z42" s="50"/>
    </row>
    <row r="43" spans="1:26" ht="15.75" customHeight="1" x14ac:dyDescent="0.35">
      <c r="A43" s="50"/>
      <c r="B43" s="89" t="s">
        <v>99</v>
      </c>
      <c r="C43" s="88"/>
      <c r="D43" s="95">
        <v>100</v>
      </c>
      <c r="E43" s="95">
        <v>100</v>
      </c>
      <c r="F43" s="95">
        <v>100</v>
      </c>
      <c r="G43" s="91"/>
      <c r="H43" s="91"/>
      <c r="I43" s="91"/>
      <c r="J43" s="92"/>
      <c r="K43" s="50"/>
      <c r="L43" s="50"/>
      <c r="M43" s="50"/>
      <c r="N43" s="50"/>
      <c r="O43" s="50"/>
      <c r="P43" s="50"/>
      <c r="Q43" s="50"/>
      <c r="R43" s="50"/>
      <c r="S43" s="50"/>
      <c r="T43" s="50"/>
      <c r="U43" s="50"/>
      <c r="V43" s="50"/>
      <c r="W43" s="50"/>
      <c r="X43" s="50"/>
      <c r="Y43" s="50"/>
      <c r="Z43" s="50"/>
    </row>
    <row r="44" spans="1:26" ht="15.75" customHeight="1" x14ac:dyDescent="0.35">
      <c r="A44" s="50"/>
      <c r="B44" s="89" t="s">
        <v>100</v>
      </c>
      <c r="C44" s="88"/>
      <c r="D44" s="95">
        <v>100</v>
      </c>
      <c r="E44" s="95">
        <v>100</v>
      </c>
      <c r="F44" s="95">
        <v>100</v>
      </c>
      <c r="G44" s="91"/>
      <c r="H44" s="91"/>
      <c r="I44" s="91"/>
      <c r="J44" s="92"/>
      <c r="K44" s="50"/>
      <c r="L44" s="50"/>
      <c r="M44" s="50"/>
      <c r="N44" s="50"/>
      <c r="O44" s="50"/>
      <c r="P44" s="50"/>
      <c r="Q44" s="50"/>
      <c r="R44" s="50"/>
      <c r="S44" s="50"/>
      <c r="T44" s="50"/>
      <c r="U44" s="50"/>
      <c r="V44" s="50"/>
      <c r="W44" s="50"/>
      <c r="X44" s="50"/>
      <c r="Y44" s="50"/>
      <c r="Z44" s="50"/>
    </row>
    <row r="45" spans="1:26" ht="15.75" customHeight="1" x14ac:dyDescent="0.35">
      <c r="A45" s="50"/>
      <c r="B45" s="89" t="s">
        <v>101</v>
      </c>
      <c r="C45" s="88"/>
      <c r="D45" s="95">
        <v>100</v>
      </c>
      <c r="E45" s="95">
        <v>100</v>
      </c>
      <c r="F45" s="95">
        <v>100</v>
      </c>
      <c r="G45" s="91"/>
      <c r="H45" s="91"/>
      <c r="I45" s="91"/>
      <c r="J45" s="92"/>
      <c r="K45" s="50"/>
      <c r="L45" s="50"/>
      <c r="M45" s="50"/>
      <c r="N45" s="50"/>
      <c r="O45" s="50"/>
      <c r="P45" s="50"/>
      <c r="Q45" s="50"/>
      <c r="R45" s="50"/>
      <c r="S45" s="50"/>
      <c r="T45" s="50"/>
      <c r="U45" s="50"/>
      <c r="V45" s="50"/>
      <c r="W45" s="50"/>
      <c r="X45" s="50"/>
      <c r="Y45" s="50"/>
      <c r="Z45" s="50"/>
    </row>
    <row r="46" spans="1:26" ht="15.75" customHeight="1" x14ac:dyDescent="0.35">
      <c r="A46" s="50"/>
      <c r="B46" s="89" t="s">
        <v>102</v>
      </c>
      <c r="C46" s="88"/>
      <c r="D46" s="95">
        <v>100</v>
      </c>
      <c r="E46" s="95">
        <v>100</v>
      </c>
      <c r="F46" s="95">
        <v>100</v>
      </c>
      <c r="G46" s="91"/>
      <c r="H46" s="91"/>
      <c r="I46" s="91"/>
      <c r="J46" s="92"/>
      <c r="K46" s="50"/>
      <c r="L46" s="50"/>
      <c r="M46" s="50"/>
      <c r="N46" s="50"/>
      <c r="O46" s="50"/>
      <c r="P46" s="50"/>
      <c r="Q46" s="50"/>
      <c r="R46" s="50"/>
      <c r="S46" s="50"/>
      <c r="T46" s="50"/>
      <c r="U46" s="50"/>
      <c r="V46" s="50"/>
      <c r="W46" s="50"/>
      <c r="X46" s="50"/>
      <c r="Y46" s="50"/>
      <c r="Z46" s="50"/>
    </row>
    <row r="47" spans="1:26" ht="15.75" customHeight="1" x14ac:dyDescent="0.35">
      <c r="A47" s="50"/>
      <c r="B47" s="89" t="s">
        <v>103</v>
      </c>
      <c r="C47" s="88"/>
      <c r="D47" s="95">
        <v>100</v>
      </c>
      <c r="E47" s="95">
        <v>100</v>
      </c>
      <c r="F47" s="95">
        <v>100</v>
      </c>
      <c r="G47" s="91"/>
      <c r="H47" s="91"/>
      <c r="I47" s="91"/>
      <c r="J47" s="92"/>
      <c r="K47" s="50"/>
      <c r="L47" s="50"/>
      <c r="M47" s="50"/>
      <c r="N47" s="50"/>
      <c r="O47" s="50"/>
      <c r="P47" s="50"/>
      <c r="Q47" s="50"/>
      <c r="R47" s="50"/>
      <c r="S47" s="50"/>
      <c r="T47" s="50"/>
      <c r="U47" s="50"/>
      <c r="V47" s="50"/>
      <c r="W47" s="50"/>
      <c r="X47" s="50"/>
      <c r="Y47" s="50"/>
      <c r="Z47" s="50"/>
    </row>
    <row r="48" spans="1:26" ht="33.75" customHeight="1" x14ac:dyDescent="0.35">
      <c r="A48" s="50"/>
      <c r="B48" s="87" t="s">
        <v>107</v>
      </c>
      <c r="C48" s="88"/>
      <c r="D48" s="43" t="s">
        <v>89</v>
      </c>
      <c r="E48" s="43" t="s">
        <v>90</v>
      </c>
      <c r="F48" s="43" t="s">
        <v>91</v>
      </c>
      <c r="G48" s="563" t="s">
        <v>106</v>
      </c>
      <c r="H48" s="546"/>
      <c r="I48" s="546"/>
      <c r="J48" s="558"/>
      <c r="K48" s="50"/>
      <c r="L48" s="50"/>
      <c r="M48" s="50"/>
      <c r="N48" s="50"/>
      <c r="O48" s="50"/>
      <c r="P48" s="50"/>
      <c r="Q48" s="50"/>
      <c r="R48" s="50"/>
      <c r="S48" s="50"/>
      <c r="T48" s="50"/>
      <c r="U48" s="50"/>
      <c r="V48" s="50"/>
      <c r="W48" s="50"/>
      <c r="X48" s="50"/>
      <c r="Y48" s="50"/>
      <c r="Z48" s="50"/>
    </row>
    <row r="49" spans="1:26" ht="15.75" customHeight="1" x14ac:dyDescent="0.35">
      <c r="A49" s="50"/>
      <c r="B49" s="89" t="s">
        <v>93</v>
      </c>
      <c r="C49" s="88"/>
      <c r="D49" s="95">
        <v>50</v>
      </c>
      <c r="E49" s="95">
        <v>50</v>
      </c>
      <c r="F49" s="95">
        <v>50</v>
      </c>
      <c r="G49" s="91"/>
      <c r="H49" s="91"/>
      <c r="I49" s="91"/>
      <c r="J49" s="92"/>
      <c r="K49" s="50"/>
      <c r="L49" s="50"/>
      <c r="M49" s="50"/>
      <c r="N49" s="50"/>
      <c r="O49" s="50"/>
      <c r="P49" s="50"/>
      <c r="Q49" s="50"/>
      <c r="R49" s="50"/>
      <c r="S49" s="50"/>
      <c r="T49" s="50"/>
      <c r="U49" s="50"/>
      <c r="V49" s="50"/>
      <c r="W49" s="50"/>
      <c r="X49" s="50"/>
      <c r="Y49" s="50"/>
      <c r="Z49" s="50"/>
    </row>
    <row r="50" spans="1:26" ht="15.75" customHeight="1" x14ac:dyDescent="0.35">
      <c r="A50" s="50"/>
      <c r="B50" s="89" t="s">
        <v>95</v>
      </c>
      <c r="C50" s="88"/>
      <c r="D50" s="95">
        <v>50</v>
      </c>
      <c r="E50" s="95">
        <v>50</v>
      </c>
      <c r="F50" s="95">
        <v>50</v>
      </c>
      <c r="G50" s="91"/>
      <c r="H50" s="91"/>
      <c r="I50" s="91"/>
      <c r="J50" s="92"/>
      <c r="K50" s="50"/>
      <c r="L50" s="50"/>
      <c r="M50" s="50"/>
      <c r="N50" s="50"/>
      <c r="O50" s="50"/>
      <c r="P50" s="50"/>
      <c r="Q50" s="50"/>
      <c r="R50" s="50"/>
      <c r="S50" s="50"/>
      <c r="T50" s="50"/>
      <c r="U50" s="50"/>
      <c r="V50" s="50"/>
      <c r="W50" s="50"/>
      <c r="X50" s="50"/>
      <c r="Y50" s="50"/>
      <c r="Z50" s="50"/>
    </row>
    <row r="51" spans="1:26" ht="15.75" customHeight="1" x14ac:dyDescent="0.35">
      <c r="A51" s="50"/>
      <c r="B51" s="89" t="s">
        <v>96</v>
      </c>
      <c r="C51" s="88"/>
      <c r="D51" s="95">
        <v>50</v>
      </c>
      <c r="E51" s="95">
        <v>50</v>
      </c>
      <c r="F51" s="95">
        <v>50</v>
      </c>
      <c r="G51" s="91"/>
      <c r="H51" s="91"/>
      <c r="I51" s="91"/>
      <c r="J51" s="92"/>
      <c r="K51" s="50"/>
      <c r="L51" s="50"/>
      <c r="M51" s="50"/>
      <c r="N51" s="50"/>
      <c r="O51" s="50"/>
      <c r="P51" s="50"/>
      <c r="Q51" s="50"/>
      <c r="R51" s="50"/>
      <c r="S51" s="50"/>
      <c r="T51" s="50"/>
      <c r="U51" s="50"/>
      <c r="V51" s="50"/>
      <c r="W51" s="50"/>
      <c r="X51" s="50"/>
      <c r="Y51" s="50"/>
      <c r="Z51" s="50"/>
    </row>
    <row r="52" spans="1:26" ht="15.75" customHeight="1" x14ac:dyDescent="0.35">
      <c r="A52" s="50"/>
      <c r="B52" s="89" t="s">
        <v>97</v>
      </c>
      <c r="C52" s="88"/>
      <c r="D52" s="95">
        <v>50</v>
      </c>
      <c r="E52" s="95">
        <v>50</v>
      </c>
      <c r="F52" s="95">
        <v>50</v>
      </c>
      <c r="G52" s="91"/>
      <c r="H52" s="91"/>
      <c r="I52" s="91"/>
      <c r="J52" s="92"/>
      <c r="K52" s="50"/>
      <c r="L52" s="50"/>
      <c r="M52" s="50"/>
      <c r="N52" s="50"/>
      <c r="O52" s="50"/>
      <c r="P52" s="50"/>
      <c r="Q52" s="50"/>
      <c r="R52" s="50"/>
      <c r="S52" s="50"/>
      <c r="T52" s="50"/>
      <c r="U52" s="50"/>
      <c r="V52" s="50"/>
      <c r="W52" s="50"/>
      <c r="X52" s="50"/>
      <c r="Y52" s="50"/>
      <c r="Z52" s="50"/>
    </row>
    <row r="53" spans="1:26" ht="15.75" customHeight="1" x14ac:dyDescent="0.35">
      <c r="A53" s="50"/>
      <c r="B53" s="89" t="s">
        <v>98</v>
      </c>
      <c r="C53" s="88"/>
      <c r="D53" s="95">
        <v>50</v>
      </c>
      <c r="E53" s="95">
        <v>50</v>
      </c>
      <c r="F53" s="95">
        <v>50</v>
      </c>
      <c r="G53" s="91"/>
      <c r="H53" s="91"/>
      <c r="I53" s="91"/>
      <c r="J53" s="92"/>
      <c r="K53" s="50"/>
      <c r="L53" s="50"/>
      <c r="M53" s="50"/>
      <c r="N53" s="50"/>
      <c r="O53" s="50"/>
      <c r="P53" s="50"/>
      <c r="Q53" s="50"/>
      <c r="R53" s="50"/>
      <c r="S53" s="50"/>
      <c r="T53" s="50"/>
      <c r="U53" s="50"/>
      <c r="V53" s="50"/>
      <c r="W53" s="50"/>
      <c r="X53" s="50"/>
      <c r="Y53" s="50"/>
      <c r="Z53" s="50"/>
    </row>
    <row r="54" spans="1:26" ht="15.75" customHeight="1" x14ac:dyDescent="0.35">
      <c r="A54" s="50"/>
      <c r="B54" s="89" t="s">
        <v>99</v>
      </c>
      <c r="C54" s="88"/>
      <c r="D54" s="95">
        <v>50</v>
      </c>
      <c r="E54" s="95">
        <v>50</v>
      </c>
      <c r="F54" s="95">
        <v>50</v>
      </c>
      <c r="G54" s="91"/>
      <c r="H54" s="91"/>
      <c r="I54" s="91"/>
      <c r="J54" s="92"/>
      <c r="K54" s="50"/>
      <c r="L54" s="50"/>
      <c r="M54" s="50"/>
      <c r="N54" s="50"/>
      <c r="O54" s="50"/>
      <c r="P54" s="50"/>
      <c r="Q54" s="50"/>
      <c r="R54" s="50"/>
      <c r="S54" s="50"/>
      <c r="T54" s="50"/>
      <c r="U54" s="50"/>
      <c r="V54" s="50"/>
      <c r="W54" s="50"/>
      <c r="X54" s="50"/>
      <c r="Y54" s="50"/>
      <c r="Z54" s="50"/>
    </row>
    <row r="55" spans="1:26" ht="15.75" customHeight="1" x14ac:dyDescent="0.35">
      <c r="A55" s="50"/>
      <c r="B55" s="89" t="s">
        <v>100</v>
      </c>
      <c r="C55" s="88"/>
      <c r="D55" s="95">
        <v>50</v>
      </c>
      <c r="E55" s="95">
        <v>50</v>
      </c>
      <c r="F55" s="95">
        <v>50</v>
      </c>
      <c r="G55" s="91"/>
      <c r="H55" s="91"/>
      <c r="I55" s="91"/>
      <c r="J55" s="92"/>
      <c r="K55" s="50"/>
      <c r="L55" s="50"/>
      <c r="M55" s="50"/>
      <c r="N55" s="50"/>
      <c r="O55" s="50"/>
      <c r="P55" s="50"/>
      <c r="Q55" s="50"/>
      <c r="R55" s="50"/>
      <c r="S55" s="50"/>
      <c r="T55" s="50"/>
      <c r="U55" s="50"/>
      <c r="V55" s="50"/>
      <c r="W55" s="50"/>
      <c r="X55" s="50"/>
      <c r="Y55" s="50"/>
      <c r="Z55" s="50"/>
    </row>
    <row r="56" spans="1:26" ht="15.75" customHeight="1" x14ac:dyDescent="0.35">
      <c r="A56" s="50"/>
      <c r="B56" s="89" t="s">
        <v>101</v>
      </c>
      <c r="C56" s="88"/>
      <c r="D56" s="95">
        <v>50</v>
      </c>
      <c r="E56" s="95">
        <v>50</v>
      </c>
      <c r="F56" s="95">
        <v>50</v>
      </c>
      <c r="G56" s="91"/>
      <c r="H56" s="91"/>
      <c r="I56" s="91"/>
      <c r="J56" s="92"/>
      <c r="K56" s="50"/>
      <c r="L56" s="50"/>
      <c r="M56" s="50"/>
      <c r="N56" s="50"/>
      <c r="O56" s="50"/>
      <c r="P56" s="50"/>
      <c r="Q56" s="50"/>
      <c r="R56" s="50"/>
      <c r="S56" s="50"/>
      <c r="T56" s="50"/>
      <c r="U56" s="50"/>
      <c r="V56" s="50"/>
      <c r="W56" s="50"/>
      <c r="X56" s="50"/>
      <c r="Y56" s="50"/>
      <c r="Z56" s="50"/>
    </row>
    <row r="57" spans="1:26" ht="15.75" customHeight="1" x14ac:dyDescent="0.35">
      <c r="A57" s="50"/>
      <c r="B57" s="89" t="s">
        <v>102</v>
      </c>
      <c r="C57" s="88"/>
      <c r="D57" s="95">
        <v>50</v>
      </c>
      <c r="E57" s="95">
        <v>50</v>
      </c>
      <c r="F57" s="95">
        <v>50</v>
      </c>
      <c r="G57" s="91"/>
      <c r="H57" s="91"/>
      <c r="I57" s="91"/>
      <c r="J57" s="92"/>
      <c r="K57" s="50"/>
      <c r="L57" s="50"/>
      <c r="M57" s="50"/>
      <c r="N57" s="50"/>
      <c r="O57" s="50"/>
      <c r="P57" s="50"/>
      <c r="Q57" s="50"/>
      <c r="R57" s="50"/>
      <c r="S57" s="50"/>
      <c r="T57" s="50"/>
      <c r="U57" s="50"/>
      <c r="V57" s="50"/>
      <c r="W57" s="50"/>
      <c r="X57" s="50"/>
      <c r="Y57" s="50"/>
      <c r="Z57" s="50"/>
    </row>
    <row r="58" spans="1:26" ht="15.75" customHeight="1" x14ac:dyDescent="0.35">
      <c r="A58" s="50"/>
      <c r="B58" s="89" t="s">
        <v>103</v>
      </c>
      <c r="C58" s="88"/>
      <c r="D58" s="95">
        <v>50</v>
      </c>
      <c r="E58" s="95">
        <v>50</v>
      </c>
      <c r="F58" s="95">
        <v>50</v>
      </c>
      <c r="G58" s="91"/>
      <c r="H58" s="91"/>
      <c r="I58" s="91"/>
      <c r="J58" s="92"/>
      <c r="K58" s="50"/>
      <c r="L58" s="50"/>
      <c r="M58" s="50"/>
      <c r="N58" s="50"/>
      <c r="O58" s="50"/>
      <c r="P58" s="50"/>
      <c r="Q58" s="50"/>
      <c r="R58" s="50"/>
      <c r="S58" s="50"/>
      <c r="T58" s="50"/>
      <c r="U58" s="50"/>
      <c r="V58" s="50"/>
      <c r="W58" s="50"/>
      <c r="X58" s="50"/>
      <c r="Y58" s="50"/>
      <c r="Z58" s="50"/>
    </row>
    <row r="59" spans="1:26" ht="15.75" customHeight="1" x14ac:dyDescent="0.35">
      <c r="A59" s="50"/>
      <c r="B59" s="96" t="s">
        <v>108</v>
      </c>
      <c r="C59" s="88" t="s">
        <v>109</v>
      </c>
      <c r="D59" s="97">
        <v>0.05</v>
      </c>
      <c r="E59" s="91"/>
      <c r="F59" s="91"/>
      <c r="G59" s="563" t="s">
        <v>110</v>
      </c>
      <c r="H59" s="546"/>
      <c r="I59" s="546"/>
      <c r="J59" s="558"/>
      <c r="K59" s="50"/>
      <c r="L59" s="50"/>
      <c r="M59" s="50"/>
      <c r="N59" s="50"/>
      <c r="O59" s="50"/>
      <c r="P59" s="50"/>
      <c r="Q59" s="50"/>
      <c r="R59" s="50"/>
      <c r="S59" s="50"/>
      <c r="T59" s="50"/>
      <c r="U59" s="50"/>
      <c r="V59" s="50"/>
      <c r="W59" s="50"/>
      <c r="X59" s="50"/>
      <c r="Y59" s="50"/>
      <c r="Z59" s="50"/>
    </row>
    <row r="60" spans="1:26" ht="15.75" customHeight="1" x14ac:dyDescent="0.35">
      <c r="A60" s="50"/>
      <c r="B60" s="96" t="s">
        <v>111</v>
      </c>
      <c r="C60" s="88" t="s">
        <v>109</v>
      </c>
      <c r="D60" s="97">
        <v>0.01</v>
      </c>
      <c r="E60" s="91"/>
      <c r="F60" s="91"/>
      <c r="G60" s="563" t="s">
        <v>112</v>
      </c>
      <c r="H60" s="546"/>
      <c r="I60" s="546"/>
      <c r="J60" s="558"/>
      <c r="K60" s="50"/>
      <c r="L60" s="50"/>
      <c r="M60" s="50"/>
      <c r="N60" s="50"/>
      <c r="O60" s="50"/>
      <c r="P60" s="50"/>
      <c r="Q60" s="50"/>
      <c r="R60" s="50"/>
      <c r="S60" s="50"/>
      <c r="T60" s="50"/>
      <c r="U60" s="50"/>
      <c r="V60" s="50"/>
      <c r="W60" s="50"/>
      <c r="X60" s="50"/>
      <c r="Y60" s="50"/>
      <c r="Z60" s="50"/>
    </row>
    <row r="61" spans="1:26" ht="15.75" customHeight="1" x14ac:dyDescent="0.35">
      <c r="A61" s="50"/>
      <c r="B61" s="96" t="s">
        <v>113</v>
      </c>
      <c r="C61" s="88" t="s">
        <v>109</v>
      </c>
      <c r="D61" s="98" t="s">
        <v>114</v>
      </c>
      <c r="E61" s="91"/>
      <c r="F61" s="91"/>
      <c r="G61" s="563" t="s">
        <v>115</v>
      </c>
      <c r="H61" s="546"/>
      <c r="I61" s="546"/>
      <c r="J61" s="558"/>
      <c r="K61" s="50"/>
      <c r="L61" s="99"/>
      <c r="M61" s="50"/>
      <c r="N61" s="50"/>
      <c r="O61" s="50"/>
      <c r="P61" s="50"/>
      <c r="Q61" s="50"/>
      <c r="R61" s="50"/>
      <c r="S61" s="50"/>
      <c r="T61" s="50"/>
      <c r="U61" s="50"/>
      <c r="V61" s="50"/>
      <c r="W61" s="50"/>
      <c r="X61" s="50"/>
      <c r="Y61" s="50"/>
      <c r="Z61" s="50"/>
    </row>
    <row r="62" spans="1:26" ht="15.75" customHeight="1" x14ac:dyDescent="0.35">
      <c r="A62" s="50"/>
      <c r="B62" s="96" t="s">
        <v>116</v>
      </c>
      <c r="C62" s="88" t="s">
        <v>109</v>
      </c>
      <c r="D62" s="100">
        <f>VLOOKUP(D61,B63:D65,3,FALSE)</f>
        <v>0.05</v>
      </c>
      <c r="E62" s="91"/>
      <c r="F62" s="91"/>
      <c r="G62" s="563" t="s">
        <v>117</v>
      </c>
      <c r="H62" s="546"/>
      <c r="I62" s="546"/>
      <c r="J62" s="558"/>
      <c r="K62" s="50"/>
      <c r="L62" s="50"/>
      <c r="M62" s="50"/>
      <c r="N62" s="50"/>
      <c r="O62" s="50"/>
      <c r="P62" s="50"/>
      <c r="Q62" s="50"/>
      <c r="R62" s="50"/>
      <c r="S62" s="50"/>
      <c r="T62" s="50"/>
      <c r="U62" s="50"/>
      <c r="V62" s="50"/>
      <c r="W62" s="50"/>
      <c r="X62" s="50"/>
      <c r="Y62" s="50"/>
      <c r="Z62" s="50"/>
    </row>
    <row r="63" spans="1:26" ht="15.75" customHeight="1" x14ac:dyDescent="0.35">
      <c r="A63" s="50"/>
      <c r="B63" s="101" t="s">
        <v>114</v>
      </c>
      <c r="C63" s="102" t="s">
        <v>109</v>
      </c>
      <c r="D63" s="103">
        <v>0.05</v>
      </c>
      <c r="E63" s="91"/>
      <c r="F63" s="91"/>
      <c r="G63" s="563" t="s">
        <v>118</v>
      </c>
      <c r="H63" s="546"/>
      <c r="I63" s="546"/>
      <c r="J63" s="558"/>
      <c r="K63" s="50"/>
      <c r="L63" s="50"/>
      <c r="M63" s="50"/>
      <c r="N63" s="50"/>
      <c r="O63" s="50"/>
      <c r="P63" s="50"/>
      <c r="Q63" s="50"/>
      <c r="R63" s="50"/>
      <c r="S63" s="50"/>
      <c r="T63" s="50"/>
      <c r="U63" s="50"/>
      <c r="V63" s="50"/>
      <c r="W63" s="50"/>
      <c r="X63" s="50"/>
      <c r="Y63" s="50"/>
      <c r="Z63" s="50"/>
    </row>
    <row r="64" spans="1:26" ht="15.75" customHeight="1" x14ac:dyDescent="0.35">
      <c r="A64" s="50"/>
      <c r="B64" s="101" t="s">
        <v>119</v>
      </c>
      <c r="C64" s="102" t="s">
        <v>109</v>
      </c>
      <c r="D64" s="103">
        <v>0.03</v>
      </c>
      <c r="E64" s="91"/>
      <c r="F64" s="91"/>
      <c r="G64" s="563" t="s">
        <v>120</v>
      </c>
      <c r="H64" s="546"/>
      <c r="I64" s="546"/>
      <c r="J64" s="558"/>
      <c r="K64" s="50"/>
      <c r="L64" s="50"/>
      <c r="M64" s="50"/>
      <c r="N64" s="50"/>
      <c r="O64" s="50"/>
      <c r="P64" s="50"/>
      <c r="Q64" s="50"/>
      <c r="R64" s="50"/>
      <c r="S64" s="50"/>
      <c r="T64" s="50"/>
      <c r="U64" s="50"/>
      <c r="V64" s="50"/>
      <c r="W64" s="50"/>
      <c r="X64" s="50"/>
      <c r="Y64" s="50"/>
      <c r="Z64" s="50"/>
    </row>
    <row r="65" spans="1:26" ht="15.75" customHeight="1" x14ac:dyDescent="0.35">
      <c r="A65" s="50"/>
      <c r="B65" s="101" t="s">
        <v>121</v>
      </c>
      <c r="C65" s="102" t="s">
        <v>109</v>
      </c>
      <c r="D65" s="103">
        <v>0.01</v>
      </c>
      <c r="E65" s="91"/>
      <c r="F65" s="91"/>
      <c r="G65" s="563" t="s">
        <v>122</v>
      </c>
      <c r="H65" s="546"/>
      <c r="I65" s="546"/>
      <c r="J65" s="558"/>
      <c r="K65" s="50"/>
      <c r="L65" s="50"/>
      <c r="M65" s="50"/>
      <c r="N65" s="50"/>
      <c r="O65" s="50"/>
      <c r="P65" s="50"/>
      <c r="Q65" s="50"/>
      <c r="R65" s="50"/>
      <c r="S65" s="50"/>
      <c r="T65" s="50"/>
      <c r="U65" s="50"/>
      <c r="V65" s="50"/>
      <c r="W65" s="50"/>
      <c r="X65" s="50"/>
      <c r="Y65" s="50"/>
      <c r="Z65" s="50"/>
    </row>
    <row r="66" spans="1:26" ht="15.75" customHeight="1" x14ac:dyDescent="0.35">
      <c r="A66" s="50"/>
      <c r="B66" s="104" t="s">
        <v>123</v>
      </c>
      <c r="C66" s="88"/>
      <c r="D66" s="105">
        <v>0.01</v>
      </c>
      <c r="E66" s="91"/>
      <c r="F66" s="91"/>
      <c r="G66" s="563" t="s">
        <v>124</v>
      </c>
      <c r="H66" s="546"/>
      <c r="I66" s="546"/>
      <c r="J66" s="558"/>
      <c r="K66" s="50"/>
      <c r="L66" s="50"/>
      <c r="M66" s="50"/>
      <c r="N66" s="50"/>
      <c r="O66" s="50"/>
      <c r="P66" s="50"/>
      <c r="Q66" s="50"/>
      <c r="R66" s="50"/>
      <c r="S66" s="50"/>
      <c r="T66" s="50"/>
      <c r="U66" s="50"/>
      <c r="V66" s="50"/>
      <c r="W66" s="50"/>
      <c r="X66" s="50"/>
      <c r="Y66" s="50"/>
      <c r="Z66" s="50"/>
    </row>
    <row r="67" spans="1:26" ht="15.75" customHeight="1" x14ac:dyDescent="0.35">
      <c r="A67" s="50"/>
      <c r="B67" s="96" t="s">
        <v>125</v>
      </c>
      <c r="C67" s="88"/>
      <c r="D67" s="97">
        <v>0.01</v>
      </c>
      <c r="E67" s="91"/>
      <c r="F67" s="91"/>
      <c r="G67" s="563" t="s">
        <v>126</v>
      </c>
      <c r="H67" s="546"/>
      <c r="I67" s="546"/>
      <c r="J67" s="558"/>
      <c r="K67" s="50"/>
      <c r="L67" s="50"/>
      <c r="M67" s="50"/>
      <c r="N67" s="50"/>
      <c r="O67" s="50"/>
      <c r="P67" s="50"/>
      <c r="Q67" s="50"/>
      <c r="R67" s="50"/>
      <c r="S67" s="50"/>
      <c r="T67" s="50"/>
      <c r="U67" s="50"/>
      <c r="V67" s="50"/>
      <c r="W67" s="50"/>
      <c r="X67" s="50"/>
      <c r="Y67" s="50"/>
      <c r="Z67" s="50"/>
    </row>
    <row r="68" spans="1:26" ht="43.5" customHeight="1" x14ac:dyDescent="0.35">
      <c r="A68" s="50"/>
      <c r="B68" s="106" t="s">
        <v>127</v>
      </c>
      <c r="C68" s="107"/>
      <c r="D68" s="108">
        <v>0.05</v>
      </c>
      <c r="E68" s="109"/>
      <c r="F68" s="109"/>
      <c r="G68" s="564" t="s">
        <v>128</v>
      </c>
      <c r="H68" s="560"/>
      <c r="I68" s="560"/>
      <c r="J68" s="561"/>
      <c r="K68" s="50"/>
      <c r="L68" s="50"/>
      <c r="M68" s="50"/>
      <c r="N68" s="50"/>
      <c r="O68" s="50"/>
      <c r="P68" s="50"/>
      <c r="Q68" s="50"/>
      <c r="R68" s="50"/>
      <c r="S68" s="50"/>
      <c r="T68" s="50"/>
      <c r="U68" s="50"/>
      <c r="V68" s="50"/>
      <c r="W68" s="50"/>
      <c r="X68" s="50"/>
      <c r="Y68" s="50"/>
      <c r="Z68" s="50"/>
    </row>
    <row r="69" spans="1:26" ht="15.75" customHeight="1" x14ac:dyDescent="0.35">
      <c r="A69" s="50"/>
      <c r="B69" s="110"/>
      <c r="C69" s="47"/>
      <c r="D69" s="111"/>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x14ac:dyDescent="0.3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x14ac:dyDescent="0.35">
      <c r="A71" s="50"/>
      <c r="B71" s="35" t="s">
        <v>55</v>
      </c>
      <c r="C71" s="38"/>
      <c r="D71" s="565" t="s">
        <v>129</v>
      </c>
      <c r="E71" s="552"/>
      <c r="F71" s="553"/>
      <c r="G71" s="112" t="s">
        <v>130</v>
      </c>
      <c r="H71" s="38" t="e">
        <f t="shared" ref="H71:P71" si="2">+G71+1</f>
        <v>#VALUE!</v>
      </c>
      <c r="I71" s="38" t="e">
        <f t="shared" si="2"/>
        <v>#VALUE!</v>
      </c>
      <c r="J71" s="38" t="e">
        <f t="shared" si="2"/>
        <v>#VALUE!</v>
      </c>
      <c r="K71" s="38" t="e">
        <f t="shared" si="2"/>
        <v>#VALUE!</v>
      </c>
      <c r="L71" s="38" t="e">
        <f t="shared" si="2"/>
        <v>#VALUE!</v>
      </c>
      <c r="M71" s="38" t="e">
        <f t="shared" si="2"/>
        <v>#VALUE!</v>
      </c>
      <c r="N71" s="38" t="e">
        <f t="shared" si="2"/>
        <v>#VALUE!</v>
      </c>
      <c r="O71" s="38" t="e">
        <f t="shared" si="2"/>
        <v>#VALUE!</v>
      </c>
      <c r="P71" s="39" t="e">
        <f t="shared" si="2"/>
        <v>#VALUE!</v>
      </c>
      <c r="Q71" s="50"/>
      <c r="R71" s="50"/>
      <c r="S71" s="50"/>
      <c r="T71" s="50"/>
      <c r="U71" s="50"/>
      <c r="V71" s="50"/>
      <c r="W71" s="50"/>
      <c r="X71" s="50"/>
      <c r="Y71" s="50"/>
      <c r="Z71" s="50"/>
    </row>
    <row r="72" spans="1:26" ht="15.75" customHeight="1" x14ac:dyDescent="0.35">
      <c r="A72" s="50"/>
      <c r="B72" s="40"/>
      <c r="C72" s="113"/>
      <c r="D72" s="43">
        <v>1</v>
      </c>
      <c r="E72" s="43">
        <f>+D72+1</f>
        <v>2</v>
      </c>
      <c r="F72" s="43">
        <f t="shared" ref="F72:P72" si="3">E72+1</f>
        <v>3</v>
      </c>
      <c r="G72" s="43">
        <f t="shared" si="3"/>
        <v>4</v>
      </c>
      <c r="H72" s="43">
        <f t="shared" si="3"/>
        <v>5</v>
      </c>
      <c r="I72" s="43">
        <f t="shared" si="3"/>
        <v>6</v>
      </c>
      <c r="J72" s="43">
        <f t="shared" si="3"/>
        <v>7</v>
      </c>
      <c r="K72" s="43">
        <f t="shared" si="3"/>
        <v>8</v>
      </c>
      <c r="L72" s="43">
        <f t="shared" si="3"/>
        <v>9</v>
      </c>
      <c r="M72" s="43">
        <f t="shared" si="3"/>
        <v>10</v>
      </c>
      <c r="N72" s="43">
        <f t="shared" si="3"/>
        <v>11</v>
      </c>
      <c r="O72" s="43">
        <f t="shared" si="3"/>
        <v>12</v>
      </c>
      <c r="P72" s="114">
        <f t="shared" si="3"/>
        <v>13</v>
      </c>
      <c r="Q72" s="50"/>
      <c r="R72" s="50"/>
      <c r="S72" s="50"/>
      <c r="T72" s="50"/>
      <c r="U72" s="50"/>
      <c r="V72" s="50"/>
      <c r="W72" s="50"/>
      <c r="X72" s="50"/>
      <c r="Y72" s="50"/>
      <c r="Z72" s="50"/>
    </row>
    <row r="73" spans="1:26" ht="15.75" customHeight="1" x14ac:dyDescent="0.35">
      <c r="A73" s="50"/>
      <c r="B73" s="46" t="s">
        <v>131</v>
      </c>
      <c r="C73" s="47"/>
      <c r="D73" s="49"/>
      <c r="E73" s="49"/>
      <c r="F73" s="49"/>
      <c r="G73" s="49"/>
      <c r="H73" s="49"/>
      <c r="I73" s="49"/>
      <c r="J73" s="49"/>
      <c r="K73" s="49"/>
      <c r="L73" s="49"/>
      <c r="M73" s="49"/>
      <c r="N73" s="50"/>
      <c r="O73" s="50"/>
      <c r="P73" s="115"/>
      <c r="Q73" s="50"/>
      <c r="R73" s="50"/>
      <c r="S73" s="50"/>
      <c r="T73" s="50"/>
      <c r="U73" s="50"/>
      <c r="V73" s="50"/>
      <c r="W73" s="50"/>
      <c r="X73" s="50"/>
      <c r="Y73" s="50"/>
      <c r="Z73" s="50"/>
    </row>
    <row r="74" spans="1:26" ht="15.75" customHeight="1" x14ac:dyDescent="0.35">
      <c r="A74" s="50"/>
      <c r="B74" s="53" t="s">
        <v>93</v>
      </c>
      <c r="C74" s="116" t="s">
        <v>94</v>
      </c>
      <c r="D74" s="49">
        <f t="shared" ref="D74:F74" si="4">D14</f>
        <v>1000</v>
      </c>
      <c r="E74" s="49">
        <f t="shared" si="4"/>
        <v>1000</v>
      </c>
      <c r="F74" s="49">
        <f t="shared" si="4"/>
        <v>1000</v>
      </c>
      <c r="G74" s="49">
        <f t="shared" ref="G74:P74" si="5">F74*(1+$D$59)</f>
        <v>1050</v>
      </c>
      <c r="H74" s="49">
        <f t="shared" si="5"/>
        <v>1102.5</v>
      </c>
      <c r="I74" s="49">
        <f t="shared" si="5"/>
        <v>1157.625</v>
      </c>
      <c r="J74" s="49">
        <f t="shared" si="5"/>
        <v>1215.5062500000001</v>
      </c>
      <c r="K74" s="49">
        <f t="shared" si="5"/>
        <v>1276.2815625000003</v>
      </c>
      <c r="L74" s="49">
        <f t="shared" si="5"/>
        <v>1340.0956406250004</v>
      </c>
      <c r="M74" s="49">
        <f t="shared" si="5"/>
        <v>1407.1004226562504</v>
      </c>
      <c r="N74" s="49">
        <f t="shared" si="5"/>
        <v>1477.4554437890631</v>
      </c>
      <c r="O74" s="49">
        <f t="shared" si="5"/>
        <v>1551.3282159785163</v>
      </c>
      <c r="P74" s="117">
        <f t="shared" si="5"/>
        <v>1628.8946267774422</v>
      </c>
      <c r="Q74" s="50"/>
      <c r="R74" s="50"/>
      <c r="S74" s="50"/>
      <c r="T74" s="50"/>
      <c r="U74" s="50"/>
      <c r="V74" s="50"/>
      <c r="W74" s="50"/>
      <c r="X74" s="50"/>
      <c r="Y74" s="50"/>
      <c r="Z74" s="50"/>
    </row>
    <row r="75" spans="1:26" ht="15.75" customHeight="1" x14ac:dyDescent="0.35">
      <c r="A75" s="50"/>
      <c r="B75" s="53" t="s">
        <v>95</v>
      </c>
      <c r="C75" s="116" t="s">
        <v>94</v>
      </c>
      <c r="D75" s="49">
        <f t="shared" ref="D75:F75" si="6">D15</f>
        <v>1000</v>
      </c>
      <c r="E75" s="49">
        <f t="shared" si="6"/>
        <v>1000</v>
      </c>
      <c r="F75" s="49">
        <f t="shared" si="6"/>
        <v>1000</v>
      </c>
      <c r="G75" s="49">
        <f t="shared" ref="G75:P75" si="7">F75*(1+$D$59)</f>
        <v>1050</v>
      </c>
      <c r="H75" s="49">
        <f t="shared" si="7"/>
        <v>1102.5</v>
      </c>
      <c r="I75" s="49">
        <f t="shared" si="7"/>
        <v>1157.625</v>
      </c>
      <c r="J75" s="49">
        <f t="shared" si="7"/>
        <v>1215.5062500000001</v>
      </c>
      <c r="K75" s="49">
        <f t="shared" si="7"/>
        <v>1276.2815625000003</v>
      </c>
      <c r="L75" s="49">
        <f t="shared" si="7"/>
        <v>1340.0956406250004</v>
      </c>
      <c r="M75" s="49">
        <f t="shared" si="7"/>
        <v>1407.1004226562504</v>
      </c>
      <c r="N75" s="49">
        <f t="shared" si="7"/>
        <v>1477.4554437890631</v>
      </c>
      <c r="O75" s="49">
        <f t="shared" si="7"/>
        <v>1551.3282159785163</v>
      </c>
      <c r="P75" s="117">
        <f t="shared" si="7"/>
        <v>1628.8946267774422</v>
      </c>
      <c r="Q75" s="50"/>
      <c r="R75" s="50"/>
      <c r="S75" s="50"/>
      <c r="T75" s="50"/>
      <c r="U75" s="50"/>
      <c r="V75" s="50"/>
      <c r="W75" s="50"/>
      <c r="X75" s="50"/>
      <c r="Y75" s="50"/>
      <c r="Z75" s="50"/>
    </row>
    <row r="76" spans="1:26" ht="15.75" customHeight="1" x14ac:dyDescent="0.35">
      <c r="A76" s="50"/>
      <c r="B76" s="53" t="s">
        <v>96</v>
      </c>
      <c r="C76" s="116" t="s">
        <v>94</v>
      </c>
      <c r="D76" s="49">
        <f t="shared" ref="D76:F76" si="8">D16</f>
        <v>1000</v>
      </c>
      <c r="E76" s="49">
        <f t="shared" si="8"/>
        <v>1000</v>
      </c>
      <c r="F76" s="49">
        <f t="shared" si="8"/>
        <v>1000</v>
      </c>
      <c r="G76" s="49">
        <f t="shared" ref="G76:P76" si="9">F76*(1+$D$59)</f>
        <v>1050</v>
      </c>
      <c r="H76" s="49">
        <f t="shared" si="9"/>
        <v>1102.5</v>
      </c>
      <c r="I76" s="49">
        <f t="shared" si="9"/>
        <v>1157.625</v>
      </c>
      <c r="J76" s="49">
        <f t="shared" si="9"/>
        <v>1215.5062500000001</v>
      </c>
      <c r="K76" s="49">
        <f t="shared" si="9"/>
        <v>1276.2815625000003</v>
      </c>
      <c r="L76" s="49">
        <f t="shared" si="9"/>
        <v>1340.0956406250004</v>
      </c>
      <c r="M76" s="49">
        <f t="shared" si="9"/>
        <v>1407.1004226562504</v>
      </c>
      <c r="N76" s="49">
        <f t="shared" si="9"/>
        <v>1477.4554437890631</v>
      </c>
      <c r="O76" s="49">
        <f t="shared" si="9"/>
        <v>1551.3282159785163</v>
      </c>
      <c r="P76" s="117">
        <f t="shared" si="9"/>
        <v>1628.8946267774422</v>
      </c>
      <c r="Q76" s="50"/>
      <c r="R76" s="50"/>
      <c r="S76" s="50"/>
      <c r="T76" s="50"/>
      <c r="U76" s="50"/>
      <c r="V76" s="50"/>
      <c r="W76" s="50"/>
      <c r="X76" s="50"/>
      <c r="Y76" s="50"/>
      <c r="Z76" s="50"/>
    </row>
    <row r="77" spans="1:26" ht="15.75" customHeight="1" x14ac:dyDescent="0.35">
      <c r="A77" s="50"/>
      <c r="B77" s="53" t="s">
        <v>97</v>
      </c>
      <c r="C77" s="116" t="s">
        <v>94</v>
      </c>
      <c r="D77" s="49">
        <f t="shared" ref="D77:F77" si="10">D17</f>
        <v>1000</v>
      </c>
      <c r="E77" s="49">
        <f t="shared" si="10"/>
        <v>1000</v>
      </c>
      <c r="F77" s="49">
        <f t="shared" si="10"/>
        <v>1000</v>
      </c>
      <c r="G77" s="49">
        <f t="shared" ref="G77:P77" si="11">F77*(1+$D$59)</f>
        <v>1050</v>
      </c>
      <c r="H77" s="49">
        <f t="shared" si="11"/>
        <v>1102.5</v>
      </c>
      <c r="I77" s="49">
        <f t="shared" si="11"/>
        <v>1157.625</v>
      </c>
      <c r="J77" s="49">
        <f t="shared" si="11"/>
        <v>1215.5062500000001</v>
      </c>
      <c r="K77" s="49">
        <f t="shared" si="11"/>
        <v>1276.2815625000003</v>
      </c>
      <c r="L77" s="49">
        <f t="shared" si="11"/>
        <v>1340.0956406250004</v>
      </c>
      <c r="M77" s="49">
        <f t="shared" si="11"/>
        <v>1407.1004226562504</v>
      </c>
      <c r="N77" s="49">
        <f t="shared" si="11"/>
        <v>1477.4554437890631</v>
      </c>
      <c r="O77" s="49">
        <f t="shared" si="11"/>
        <v>1551.3282159785163</v>
      </c>
      <c r="P77" s="117">
        <f t="shared" si="11"/>
        <v>1628.8946267774422</v>
      </c>
      <c r="Q77" s="50"/>
      <c r="R77" s="50"/>
      <c r="S77" s="50"/>
      <c r="T77" s="50"/>
      <c r="U77" s="50"/>
      <c r="V77" s="50"/>
      <c r="W77" s="50"/>
      <c r="X77" s="50"/>
      <c r="Y77" s="50"/>
      <c r="Z77" s="50"/>
    </row>
    <row r="78" spans="1:26" ht="15.75" customHeight="1" x14ac:dyDescent="0.35">
      <c r="A78" s="50"/>
      <c r="B78" s="53" t="s">
        <v>98</v>
      </c>
      <c r="C78" s="116" t="s">
        <v>94</v>
      </c>
      <c r="D78" s="49">
        <f t="shared" ref="D78:F78" si="12">D18</f>
        <v>1000</v>
      </c>
      <c r="E78" s="49">
        <f t="shared" si="12"/>
        <v>1000</v>
      </c>
      <c r="F78" s="49">
        <f t="shared" si="12"/>
        <v>1000</v>
      </c>
      <c r="G78" s="49">
        <f t="shared" ref="G78:P78" si="13">F78*(1+$D$59)</f>
        <v>1050</v>
      </c>
      <c r="H78" s="49">
        <f t="shared" si="13"/>
        <v>1102.5</v>
      </c>
      <c r="I78" s="49">
        <f t="shared" si="13"/>
        <v>1157.625</v>
      </c>
      <c r="J78" s="49">
        <f t="shared" si="13"/>
        <v>1215.5062500000001</v>
      </c>
      <c r="K78" s="49">
        <f t="shared" si="13"/>
        <v>1276.2815625000003</v>
      </c>
      <c r="L78" s="49">
        <f t="shared" si="13"/>
        <v>1340.0956406250004</v>
      </c>
      <c r="M78" s="49">
        <f t="shared" si="13"/>
        <v>1407.1004226562504</v>
      </c>
      <c r="N78" s="49">
        <f t="shared" si="13"/>
        <v>1477.4554437890631</v>
      </c>
      <c r="O78" s="49">
        <f t="shared" si="13"/>
        <v>1551.3282159785163</v>
      </c>
      <c r="P78" s="117">
        <f t="shared" si="13"/>
        <v>1628.8946267774422</v>
      </c>
      <c r="Q78" s="50"/>
      <c r="R78" s="50"/>
      <c r="S78" s="50"/>
      <c r="T78" s="50"/>
      <c r="U78" s="50"/>
      <c r="V78" s="50"/>
      <c r="W78" s="50"/>
      <c r="X78" s="50"/>
      <c r="Y78" s="50"/>
      <c r="Z78" s="50"/>
    </row>
    <row r="79" spans="1:26" ht="15.75" customHeight="1" x14ac:dyDescent="0.35">
      <c r="A79" s="50"/>
      <c r="B79" s="53" t="s">
        <v>99</v>
      </c>
      <c r="C79" s="116" t="s">
        <v>94</v>
      </c>
      <c r="D79" s="49">
        <f t="shared" ref="D79:F79" si="14">D19</f>
        <v>1000</v>
      </c>
      <c r="E79" s="49">
        <f t="shared" si="14"/>
        <v>1000</v>
      </c>
      <c r="F79" s="49">
        <f t="shared" si="14"/>
        <v>1000</v>
      </c>
      <c r="G79" s="49">
        <f t="shared" ref="G79:P79" si="15">F79*(1+$D$59)</f>
        <v>1050</v>
      </c>
      <c r="H79" s="49">
        <f t="shared" si="15"/>
        <v>1102.5</v>
      </c>
      <c r="I79" s="49">
        <f t="shared" si="15"/>
        <v>1157.625</v>
      </c>
      <c r="J79" s="49">
        <f t="shared" si="15"/>
        <v>1215.5062500000001</v>
      </c>
      <c r="K79" s="49">
        <f t="shared" si="15"/>
        <v>1276.2815625000003</v>
      </c>
      <c r="L79" s="49">
        <f t="shared" si="15"/>
        <v>1340.0956406250004</v>
      </c>
      <c r="M79" s="49">
        <f t="shared" si="15"/>
        <v>1407.1004226562504</v>
      </c>
      <c r="N79" s="49">
        <f t="shared" si="15"/>
        <v>1477.4554437890631</v>
      </c>
      <c r="O79" s="49">
        <f t="shared" si="15"/>
        <v>1551.3282159785163</v>
      </c>
      <c r="P79" s="117">
        <f t="shared" si="15"/>
        <v>1628.8946267774422</v>
      </c>
      <c r="Q79" s="50"/>
      <c r="R79" s="50"/>
      <c r="S79" s="50"/>
      <c r="T79" s="50"/>
      <c r="U79" s="50"/>
      <c r="V79" s="50"/>
      <c r="W79" s="50"/>
      <c r="X79" s="50"/>
      <c r="Y79" s="50"/>
      <c r="Z79" s="50"/>
    </row>
    <row r="80" spans="1:26" ht="15.75" customHeight="1" x14ac:dyDescent="0.35">
      <c r="A80" s="50"/>
      <c r="B80" s="53" t="s">
        <v>100</v>
      </c>
      <c r="C80" s="116" t="s">
        <v>94</v>
      </c>
      <c r="D80" s="49">
        <f t="shared" ref="D80:F80" si="16">D20</f>
        <v>1000</v>
      </c>
      <c r="E80" s="49">
        <f t="shared" si="16"/>
        <v>1000</v>
      </c>
      <c r="F80" s="49">
        <f t="shared" si="16"/>
        <v>1000</v>
      </c>
      <c r="G80" s="49">
        <f t="shared" ref="G80:P80" si="17">F80*(1+$D$59)</f>
        <v>1050</v>
      </c>
      <c r="H80" s="49">
        <f t="shared" si="17"/>
        <v>1102.5</v>
      </c>
      <c r="I80" s="49">
        <f t="shared" si="17"/>
        <v>1157.625</v>
      </c>
      <c r="J80" s="49">
        <f t="shared" si="17"/>
        <v>1215.5062500000001</v>
      </c>
      <c r="K80" s="49">
        <f t="shared" si="17"/>
        <v>1276.2815625000003</v>
      </c>
      <c r="L80" s="49">
        <f t="shared" si="17"/>
        <v>1340.0956406250004</v>
      </c>
      <c r="M80" s="49">
        <f t="shared" si="17"/>
        <v>1407.1004226562504</v>
      </c>
      <c r="N80" s="49">
        <f t="shared" si="17"/>
        <v>1477.4554437890631</v>
      </c>
      <c r="O80" s="49">
        <f t="shared" si="17"/>
        <v>1551.3282159785163</v>
      </c>
      <c r="P80" s="117">
        <f t="shared" si="17"/>
        <v>1628.8946267774422</v>
      </c>
      <c r="Q80" s="50"/>
      <c r="R80" s="50"/>
      <c r="S80" s="50"/>
      <c r="T80" s="50"/>
      <c r="U80" s="50"/>
      <c r="V80" s="50"/>
      <c r="W80" s="50"/>
      <c r="X80" s="50"/>
      <c r="Y80" s="50"/>
      <c r="Z80" s="50"/>
    </row>
    <row r="81" spans="1:26" ht="15.75" customHeight="1" x14ac:dyDescent="0.35">
      <c r="A81" s="50"/>
      <c r="B81" s="53" t="s">
        <v>101</v>
      </c>
      <c r="C81" s="116" t="s">
        <v>94</v>
      </c>
      <c r="D81" s="49">
        <f t="shared" ref="D81:F81" si="18">D21</f>
        <v>1000</v>
      </c>
      <c r="E81" s="49">
        <f t="shared" si="18"/>
        <v>1000</v>
      </c>
      <c r="F81" s="49">
        <f t="shared" si="18"/>
        <v>1000</v>
      </c>
      <c r="G81" s="49">
        <f t="shared" ref="G81:P81" si="19">F81*(1+$D$59)</f>
        <v>1050</v>
      </c>
      <c r="H81" s="49">
        <f t="shared" si="19"/>
        <v>1102.5</v>
      </c>
      <c r="I81" s="49">
        <f t="shared" si="19"/>
        <v>1157.625</v>
      </c>
      <c r="J81" s="49">
        <f t="shared" si="19"/>
        <v>1215.5062500000001</v>
      </c>
      <c r="K81" s="49">
        <f t="shared" si="19"/>
        <v>1276.2815625000003</v>
      </c>
      <c r="L81" s="49">
        <f t="shared" si="19"/>
        <v>1340.0956406250004</v>
      </c>
      <c r="M81" s="49">
        <f t="shared" si="19"/>
        <v>1407.1004226562504</v>
      </c>
      <c r="N81" s="49">
        <f t="shared" si="19"/>
        <v>1477.4554437890631</v>
      </c>
      <c r="O81" s="49">
        <f t="shared" si="19"/>
        <v>1551.3282159785163</v>
      </c>
      <c r="P81" s="117">
        <f t="shared" si="19"/>
        <v>1628.8946267774422</v>
      </c>
      <c r="Q81" s="50"/>
      <c r="R81" s="50"/>
      <c r="S81" s="50"/>
      <c r="T81" s="50"/>
      <c r="U81" s="50"/>
      <c r="V81" s="50"/>
      <c r="W81" s="50"/>
      <c r="X81" s="50"/>
      <c r="Y81" s="50"/>
      <c r="Z81" s="50"/>
    </row>
    <row r="82" spans="1:26" ht="15.75" customHeight="1" x14ac:dyDescent="0.35">
      <c r="A82" s="50"/>
      <c r="B82" s="53" t="s">
        <v>102</v>
      </c>
      <c r="C82" s="116" t="s">
        <v>94</v>
      </c>
      <c r="D82" s="49">
        <f t="shared" ref="D82:F82" si="20">D22</f>
        <v>1000</v>
      </c>
      <c r="E82" s="49">
        <f t="shared" si="20"/>
        <v>1000</v>
      </c>
      <c r="F82" s="49">
        <f t="shared" si="20"/>
        <v>1000</v>
      </c>
      <c r="G82" s="49">
        <f t="shared" ref="G82:P82" si="21">F82*(1+$D$59)</f>
        <v>1050</v>
      </c>
      <c r="H82" s="49">
        <f t="shared" si="21"/>
        <v>1102.5</v>
      </c>
      <c r="I82" s="49">
        <f t="shared" si="21"/>
        <v>1157.625</v>
      </c>
      <c r="J82" s="49">
        <f t="shared" si="21"/>
        <v>1215.5062500000001</v>
      </c>
      <c r="K82" s="49">
        <f t="shared" si="21"/>
        <v>1276.2815625000003</v>
      </c>
      <c r="L82" s="49">
        <f t="shared" si="21"/>
        <v>1340.0956406250004</v>
      </c>
      <c r="M82" s="49">
        <f t="shared" si="21"/>
        <v>1407.1004226562504</v>
      </c>
      <c r="N82" s="49">
        <f t="shared" si="21"/>
        <v>1477.4554437890631</v>
      </c>
      <c r="O82" s="49">
        <f t="shared" si="21"/>
        <v>1551.3282159785163</v>
      </c>
      <c r="P82" s="117">
        <f t="shared" si="21"/>
        <v>1628.8946267774422</v>
      </c>
      <c r="Q82" s="50"/>
      <c r="R82" s="50"/>
      <c r="S82" s="50"/>
      <c r="T82" s="50"/>
      <c r="U82" s="50"/>
      <c r="V82" s="50"/>
      <c r="W82" s="50"/>
      <c r="X82" s="50"/>
      <c r="Y82" s="50"/>
      <c r="Z82" s="50"/>
    </row>
    <row r="83" spans="1:26" ht="15.75" customHeight="1" x14ac:dyDescent="0.35">
      <c r="A83" s="50"/>
      <c r="B83" s="53" t="s">
        <v>103</v>
      </c>
      <c r="C83" s="116" t="s">
        <v>94</v>
      </c>
      <c r="D83" s="49">
        <f t="shared" ref="D83:F83" si="22">D23</f>
        <v>1000</v>
      </c>
      <c r="E83" s="49">
        <f t="shared" si="22"/>
        <v>1000</v>
      </c>
      <c r="F83" s="49">
        <f t="shared" si="22"/>
        <v>1000</v>
      </c>
      <c r="G83" s="49">
        <f t="shared" ref="G83:P83" si="23">F83*(1+$D$59)</f>
        <v>1050</v>
      </c>
      <c r="H83" s="49">
        <f t="shared" si="23"/>
        <v>1102.5</v>
      </c>
      <c r="I83" s="49">
        <f t="shared" si="23"/>
        <v>1157.625</v>
      </c>
      <c r="J83" s="49">
        <f t="shared" si="23"/>
        <v>1215.5062500000001</v>
      </c>
      <c r="K83" s="49">
        <f t="shared" si="23"/>
        <v>1276.2815625000003</v>
      </c>
      <c r="L83" s="49">
        <f t="shared" si="23"/>
        <v>1340.0956406250004</v>
      </c>
      <c r="M83" s="49">
        <f t="shared" si="23"/>
        <v>1407.1004226562504</v>
      </c>
      <c r="N83" s="49">
        <f t="shared" si="23"/>
        <v>1477.4554437890631</v>
      </c>
      <c r="O83" s="49">
        <f t="shared" si="23"/>
        <v>1551.3282159785163</v>
      </c>
      <c r="P83" s="117">
        <f t="shared" si="23"/>
        <v>1628.8946267774422</v>
      </c>
      <c r="Q83" s="50"/>
      <c r="R83" s="50"/>
      <c r="S83" s="50"/>
      <c r="T83" s="50"/>
      <c r="U83" s="50"/>
      <c r="V83" s="50"/>
      <c r="W83" s="50"/>
      <c r="X83" s="50"/>
      <c r="Y83" s="50"/>
      <c r="Z83" s="50"/>
    </row>
    <row r="84" spans="1:26" ht="15.75" customHeight="1" x14ac:dyDescent="0.35">
      <c r="A84" s="32"/>
      <c r="B84" s="58" t="s">
        <v>65</v>
      </c>
      <c r="C84" s="116" t="s">
        <v>94</v>
      </c>
      <c r="D84" s="118">
        <f t="shared" ref="D84:P84" si="24">SUM(D74:D83)</f>
        <v>10000</v>
      </c>
      <c r="E84" s="118">
        <f t="shared" si="24"/>
        <v>10000</v>
      </c>
      <c r="F84" s="118">
        <f t="shared" si="24"/>
        <v>10000</v>
      </c>
      <c r="G84" s="118">
        <f t="shared" si="24"/>
        <v>10500</v>
      </c>
      <c r="H84" s="118">
        <f t="shared" si="24"/>
        <v>11025</v>
      </c>
      <c r="I84" s="118">
        <f t="shared" si="24"/>
        <v>11576.25</v>
      </c>
      <c r="J84" s="118">
        <f t="shared" si="24"/>
        <v>12155.062500000002</v>
      </c>
      <c r="K84" s="118">
        <f t="shared" si="24"/>
        <v>12762.815625000003</v>
      </c>
      <c r="L84" s="118">
        <f t="shared" si="24"/>
        <v>13400.956406250005</v>
      </c>
      <c r="M84" s="118">
        <f t="shared" si="24"/>
        <v>14071.004226562507</v>
      </c>
      <c r="N84" s="118">
        <f t="shared" si="24"/>
        <v>14774.554437890634</v>
      </c>
      <c r="O84" s="118">
        <f t="shared" si="24"/>
        <v>15513.28215978516</v>
      </c>
      <c r="P84" s="119">
        <f t="shared" si="24"/>
        <v>16288.946267774425</v>
      </c>
      <c r="Q84" s="32"/>
      <c r="R84" s="32"/>
      <c r="S84" s="32"/>
      <c r="T84" s="32"/>
      <c r="U84" s="32"/>
      <c r="V84" s="32"/>
      <c r="W84" s="32"/>
      <c r="X84" s="32"/>
      <c r="Y84" s="32"/>
      <c r="Z84" s="32"/>
    </row>
    <row r="85" spans="1:26" ht="15.75" customHeight="1" x14ac:dyDescent="0.35">
      <c r="A85" s="50"/>
      <c r="B85" s="62" t="s">
        <v>132</v>
      </c>
      <c r="C85" s="50"/>
      <c r="D85" s="120"/>
      <c r="E85" s="50"/>
      <c r="F85" s="50"/>
      <c r="G85" s="50"/>
      <c r="H85" s="50"/>
      <c r="I85" s="50"/>
      <c r="J85" s="50"/>
      <c r="K85" s="50"/>
      <c r="L85" s="50"/>
      <c r="M85" s="50"/>
      <c r="N85" s="50"/>
      <c r="O85" s="50"/>
      <c r="P85" s="115"/>
      <c r="Q85" s="50"/>
      <c r="R85" s="50"/>
      <c r="S85" s="50"/>
      <c r="T85" s="50"/>
      <c r="U85" s="50"/>
      <c r="V85" s="50"/>
      <c r="W85" s="50"/>
      <c r="X85" s="50"/>
      <c r="Y85" s="50"/>
      <c r="Z85" s="50"/>
    </row>
    <row r="86" spans="1:26" ht="15.75" customHeight="1" x14ac:dyDescent="0.35">
      <c r="A86" s="50"/>
      <c r="B86" s="53" t="s">
        <v>93</v>
      </c>
      <c r="C86" s="50"/>
      <c r="D86" s="121">
        <f t="shared" ref="D86:F86" si="25">D38</f>
        <v>100</v>
      </c>
      <c r="E86" s="121">
        <f t="shared" si="25"/>
        <v>100</v>
      </c>
      <c r="F86" s="121">
        <f t="shared" si="25"/>
        <v>100</v>
      </c>
      <c r="G86" s="64">
        <f t="shared" ref="G86:P86" si="26">IFERROR(F86*(1+$D$60),"")</f>
        <v>101</v>
      </c>
      <c r="H86" s="64">
        <f t="shared" si="26"/>
        <v>102.01</v>
      </c>
      <c r="I86" s="64">
        <f t="shared" si="26"/>
        <v>103.0301</v>
      </c>
      <c r="J86" s="64">
        <f t="shared" si="26"/>
        <v>104.060401</v>
      </c>
      <c r="K86" s="64">
        <f t="shared" si="26"/>
        <v>105.10100500999999</v>
      </c>
      <c r="L86" s="64">
        <f t="shared" si="26"/>
        <v>106.1520150601</v>
      </c>
      <c r="M86" s="64">
        <f t="shared" si="26"/>
        <v>107.213535210701</v>
      </c>
      <c r="N86" s="64">
        <f t="shared" si="26"/>
        <v>108.28567056280801</v>
      </c>
      <c r="O86" s="64">
        <f t="shared" si="26"/>
        <v>109.36852726843608</v>
      </c>
      <c r="P86" s="122">
        <f t="shared" si="26"/>
        <v>110.46221254112045</v>
      </c>
      <c r="Q86" s="50"/>
      <c r="R86" s="50"/>
      <c r="S86" s="50"/>
      <c r="T86" s="50"/>
      <c r="U86" s="50"/>
      <c r="V86" s="50"/>
      <c r="W86" s="50"/>
      <c r="X86" s="50"/>
      <c r="Y86" s="50"/>
      <c r="Z86" s="50"/>
    </row>
    <row r="87" spans="1:26" ht="15.75" customHeight="1" x14ac:dyDescent="0.35">
      <c r="A87" s="50"/>
      <c r="B87" s="53" t="s">
        <v>95</v>
      </c>
      <c r="C87" s="50"/>
      <c r="D87" s="121">
        <f t="shared" ref="D87:F87" si="27">D39</f>
        <v>100</v>
      </c>
      <c r="E87" s="121">
        <f t="shared" si="27"/>
        <v>100</v>
      </c>
      <c r="F87" s="121">
        <f t="shared" si="27"/>
        <v>100</v>
      </c>
      <c r="G87" s="64">
        <f t="shared" ref="G87:P87" si="28">IFERROR(F87*(1+$D$60),"")</f>
        <v>101</v>
      </c>
      <c r="H87" s="64">
        <f t="shared" si="28"/>
        <v>102.01</v>
      </c>
      <c r="I87" s="64">
        <f t="shared" si="28"/>
        <v>103.0301</v>
      </c>
      <c r="J87" s="64">
        <f t="shared" si="28"/>
        <v>104.060401</v>
      </c>
      <c r="K87" s="64">
        <f t="shared" si="28"/>
        <v>105.10100500999999</v>
      </c>
      <c r="L87" s="64">
        <f t="shared" si="28"/>
        <v>106.1520150601</v>
      </c>
      <c r="M87" s="64">
        <f t="shared" si="28"/>
        <v>107.213535210701</v>
      </c>
      <c r="N87" s="64">
        <f t="shared" si="28"/>
        <v>108.28567056280801</v>
      </c>
      <c r="O87" s="64">
        <f t="shared" si="28"/>
        <v>109.36852726843608</v>
      </c>
      <c r="P87" s="122">
        <f t="shared" si="28"/>
        <v>110.46221254112045</v>
      </c>
      <c r="Q87" s="50"/>
      <c r="R87" s="50"/>
      <c r="S87" s="50"/>
      <c r="T87" s="50"/>
      <c r="U87" s="50"/>
      <c r="V87" s="50"/>
      <c r="W87" s="50"/>
      <c r="X87" s="50"/>
      <c r="Y87" s="50"/>
      <c r="Z87" s="50"/>
    </row>
    <row r="88" spans="1:26" ht="15.75" customHeight="1" x14ac:dyDescent="0.35">
      <c r="A88" s="50"/>
      <c r="B88" s="53" t="s">
        <v>96</v>
      </c>
      <c r="C88" s="50"/>
      <c r="D88" s="121">
        <f t="shared" ref="D88:F88" si="29">D40</f>
        <v>100</v>
      </c>
      <c r="E88" s="121">
        <f t="shared" si="29"/>
        <v>100</v>
      </c>
      <c r="F88" s="121">
        <f t="shared" si="29"/>
        <v>100</v>
      </c>
      <c r="G88" s="64">
        <f t="shared" ref="G88:P88" si="30">IFERROR(F88*(1+$D$60),"")</f>
        <v>101</v>
      </c>
      <c r="H88" s="64">
        <f t="shared" si="30"/>
        <v>102.01</v>
      </c>
      <c r="I88" s="64">
        <f t="shared" si="30"/>
        <v>103.0301</v>
      </c>
      <c r="J88" s="64">
        <f t="shared" si="30"/>
        <v>104.060401</v>
      </c>
      <c r="K88" s="64">
        <f t="shared" si="30"/>
        <v>105.10100500999999</v>
      </c>
      <c r="L88" s="64">
        <f t="shared" si="30"/>
        <v>106.1520150601</v>
      </c>
      <c r="M88" s="64">
        <f t="shared" si="30"/>
        <v>107.213535210701</v>
      </c>
      <c r="N88" s="64">
        <f t="shared" si="30"/>
        <v>108.28567056280801</v>
      </c>
      <c r="O88" s="64">
        <f t="shared" si="30"/>
        <v>109.36852726843608</v>
      </c>
      <c r="P88" s="122">
        <f t="shared" si="30"/>
        <v>110.46221254112045</v>
      </c>
      <c r="Q88" s="50"/>
      <c r="R88" s="50"/>
      <c r="S88" s="50"/>
      <c r="T88" s="50"/>
      <c r="U88" s="50"/>
      <c r="V88" s="50"/>
      <c r="W88" s="50"/>
      <c r="X88" s="50"/>
      <c r="Y88" s="50"/>
      <c r="Z88" s="50"/>
    </row>
    <row r="89" spans="1:26" ht="15.75" customHeight="1" x14ac:dyDescent="0.35">
      <c r="A89" s="50"/>
      <c r="B89" s="53" t="s">
        <v>97</v>
      </c>
      <c r="C89" s="50"/>
      <c r="D89" s="121">
        <f t="shared" ref="D89:F89" si="31">D41</f>
        <v>100</v>
      </c>
      <c r="E89" s="121">
        <f t="shared" si="31"/>
        <v>100</v>
      </c>
      <c r="F89" s="121">
        <f t="shared" si="31"/>
        <v>100</v>
      </c>
      <c r="G89" s="64">
        <f t="shared" ref="G89:P89" si="32">IFERROR(F89*(1+$D$60),"")</f>
        <v>101</v>
      </c>
      <c r="H89" s="64">
        <f t="shared" si="32"/>
        <v>102.01</v>
      </c>
      <c r="I89" s="64">
        <f t="shared" si="32"/>
        <v>103.0301</v>
      </c>
      <c r="J89" s="64">
        <f t="shared" si="32"/>
        <v>104.060401</v>
      </c>
      <c r="K89" s="64">
        <f t="shared" si="32"/>
        <v>105.10100500999999</v>
      </c>
      <c r="L89" s="64">
        <f t="shared" si="32"/>
        <v>106.1520150601</v>
      </c>
      <c r="M89" s="64">
        <f t="shared" si="32"/>
        <v>107.213535210701</v>
      </c>
      <c r="N89" s="64">
        <f t="shared" si="32"/>
        <v>108.28567056280801</v>
      </c>
      <c r="O89" s="64">
        <f t="shared" si="32"/>
        <v>109.36852726843608</v>
      </c>
      <c r="P89" s="122">
        <f t="shared" si="32"/>
        <v>110.46221254112045</v>
      </c>
      <c r="Q89" s="50"/>
      <c r="R89" s="50"/>
      <c r="S89" s="50"/>
      <c r="T89" s="50"/>
      <c r="U89" s="50"/>
      <c r="V89" s="50"/>
      <c r="W89" s="50"/>
      <c r="X89" s="50"/>
      <c r="Y89" s="50"/>
      <c r="Z89" s="50"/>
    </row>
    <row r="90" spans="1:26" ht="15.75" customHeight="1" x14ac:dyDescent="0.35">
      <c r="A90" s="50"/>
      <c r="B90" s="53" t="s">
        <v>98</v>
      </c>
      <c r="C90" s="50"/>
      <c r="D90" s="121">
        <f t="shared" ref="D90:F90" si="33">D42</f>
        <v>100</v>
      </c>
      <c r="E90" s="121">
        <f t="shared" si="33"/>
        <v>100</v>
      </c>
      <c r="F90" s="121">
        <f t="shared" si="33"/>
        <v>100</v>
      </c>
      <c r="G90" s="64">
        <f t="shared" ref="G90:P90" si="34">IFERROR(F90*(1+$D$60),"")</f>
        <v>101</v>
      </c>
      <c r="H90" s="64">
        <f t="shared" si="34"/>
        <v>102.01</v>
      </c>
      <c r="I90" s="64">
        <f t="shared" si="34"/>
        <v>103.0301</v>
      </c>
      <c r="J90" s="64">
        <f t="shared" si="34"/>
        <v>104.060401</v>
      </c>
      <c r="K90" s="64">
        <f t="shared" si="34"/>
        <v>105.10100500999999</v>
      </c>
      <c r="L90" s="64">
        <f t="shared" si="34"/>
        <v>106.1520150601</v>
      </c>
      <c r="M90" s="64">
        <f t="shared" si="34"/>
        <v>107.213535210701</v>
      </c>
      <c r="N90" s="64">
        <f t="shared" si="34"/>
        <v>108.28567056280801</v>
      </c>
      <c r="O90" s="64">
        <f t="shared" si="34"/>
        <v>109.36852726843608</v>
      </c>
      <c r="P90" s="122">
        <f t="shared" si="34"/>
        <v>110.46221254112045</v>
      </c>
      <c r="Q90" s="50"/>
      <c r="R90" s="50"/>
      <c r="S90" s="50"/>
      <c r="T90" s="50"/>
      <c r="U90" s="50"/>
      <c r="V90" s="50"/>
      <c r="W90" s="50"/>
      <c r="X90" s="50"/>
      <c r="Y90" s="50"/>
      <c r="Z90" s="50"/>
    </row>
    <row r="91" spans="1:26" ht="15.75" customHeight="1" x14ac:dyDescent="0.35">
      <c r="A91" s="50"/>
      <c r="B91" s="53" t="s">
        <v>99</v>
      </c>
      <c r="C91" s="50"/>
      <c r="D91" s="121">
        <f t="shared" ref="D91:F91" si="35">D43</f>
        <v>100</v>
      </c>
      <c r="E91" s="121">
        <f t="shared" si="35"/>
        <v>100</v>
      </c>
      <c r="F91" s="121">
        <f t="shared" si="35"/>
        <v>100</v>
      </c>
      <c r="G91" s="64">
        <f t="shared" ref="G91:P91" si="36">IFERROR(F91*(1+$D$60),"")</f>
        <v>101</v>
      </c>
      <c r="H91" s="64">
        <f t="shared" si="36"/>
        <v>102.01</v>
      </c>
      <c r="I91" s="64">
        <f t="shared" si="36"/>
        <v>103.0301</v>
      </c>
      <c r="J91" s="64">
        <f t="shared" si="36"/>
        <v>104.060401</v>
      </c>
      <c r="K91" s="64">
        <f t="shared" si="36"/>
        <v>105.10100500999999</v>
      </c>
      <c r="L91" s="64">
        <f t="shared" si="36"/>
        <v>106.1520150601</v>
      </c>
      <c r="M91" s="64">
        <f t="shared" si="36"/>
        <v>107.213535210701</v>
      </c>
      <c r="N91" s="64">
        <f t="shared" si="36"/>
        <v>108.28567056280801</v>
      </c>
      <c r="O91" s="64">
        <f t="shared" si="36"/>
        <v>109.36852726843608</v>
      </c>
      <c r="P91" s="122">
        <f t="shared" si="36"/>
        <v>110.46221254112045</v>
      </c>
      <c r="Q91" s="50"/>
      <c r="R91" s="50"/>
      <c r="S91" s="50"/>
      <c r="T91" s="50"/>
      <c r="U91" s="50"/>
      <c r="V91" s="50"/>
      <c r="W91" s="50"/>
      <c r="X91" s="50"/>
      <c r="Y91" s="50"/>
      <c r="Z91" s="50"/>
    </row>
    <row r="92" spans="1:26" ht="15.75" customHeight="1" x14ac:dyDescent="0.35">
      <c r="A92" s="50"/>
      <c r="B92" s="53" t="s">
        <v>100</v>
      </c>
      <c r="C92" s="54"/>
      <c r="D92" s="121">
        <f t="shared" ref="D92:F92" si="37">D44</f>
        <v>100</v>
      </c>
      <c r="E92" s="121">
        <f t="shared" si="37"/>
        <v>100</v>
      </c>
      <c r="F92" s="121">
        <f t="shared" si="37"/>
        <v>100</v>
      </c>
      <c r="G92" s="64">
        <f t="shared" ref="G92:P92" si="38">IFERROR(F92*(1+$D$60),"")</f>
        <v>101</v>
      </c>
      <c r="H92" s="64">
        <f t="shared" si="38"/>
        <v>102.01</v>
      </c>
      <c r="I92" s="64">
        <f t="shared" si="38"/>
        <v>103.0301</v>
      </c>
      <c r="J92" s="64">
        <f t="shared" si="38"/>
        <v>104.060401</v>
      </c>
      <c r="K92" s="64">
        <f t="shared" si="38"/>
        <v>105.10100500999999</v>
      </c>
      <c r="L92" s="64">
        <f t="shared" si="38"/>
        <v>106.1520150601</v>
      </c>
      <c r="M92" s="64">
        <f t="shared" si="38"/>
        <v>107.213535210701</v>
      </c>
      <c r="N92" s="64">
        <f t="shared" si="38"/>
        <v>108.28567056280801</v>
      </c>
      <c r="O92" s="64">
        <f t="shared" si="38"/>
        <v>109.36852726843608</v>
      </c>
      <c r="P92" s="122">
        <f t="shared" si="38"/>
        <v>110.46221254112045</v>
      </c>
      <c r="Q92" s="50"/>
      <c r="R92" s="50"/>
      <c r="S92" s="50"/>
      <c r="T92" s="50"/>
      <c r="U92" s="50"/>
      <c r="V92" s="50"/>
      <c r="W92" s="50"/>
      <c r="X92" s="50"/>
      <c r="Y92" s="50"/>
      <c r="Z92" s="50"/>
    </row>
    <row r="93" spans="1:26" ht="15.75" customHeight="1" x14ac:dyDescent="0.35">
      <c r="A93" s="50"/>
      <c r="B93" s="53" t="s">
        <v>101</v>
      </c>
      <c r="C93" s="54"/>
      <c r="D93" s="121">
        <f t="shared" ref="D93:F93" si="39">D45</f>
        <v>100</v>
      </c>
      <c r="E93" s="121">
        <f t="shared" si="39"/>
        <v>100</v>
      </c>
      <c r="F93" s="121">
        <f t="shared" si="39"/>
        <v>100</v>
      </c>
      <c r="G93" s="64">
        <f t="shared" ref="G93:P93" si="40">IFERROR(F93*(1+$D$60),"")</f>
        <v>101</v>
      </c>
      <c r="H93" s="64">
        <f t="shared" si="40"/>
        <v>102.01</v>
      </c>
      <c r="I93" s="64">
        <f t="shared" si="40"/>
        <v>103.0301</v>
      </c>
      <c r="J93" s="64">
        <f t="shared" si="40"/>
        <v>104.060401</v>
      </c>
      <c r="K93" s="64">
        <f t="shared" si="40"/>
        <v>105.10100500999999</v>
      </c>
      <c r="L93" s="64">
        <f t="shared" si="40"/>
        <v>106.1520150601</v>
      </c>
      <c r="M93" s="64">
        <f t="shared" si="40"/>
        <v>107.213535210701</v>
      </c>
      <c r="N93" s="64">
        <f t="shared" si="40"/>
        <v>108.28567056280801</v>
      </c>
      <c r="O93" s="64">
        <f t="shared" si="40"/>
        <v>109.36852726843608</v>
      </c>
      <c r="P93" s="122">
        <f t="shared" si="40"/>
        <v>110.46221254112045</v>
      </c>
      <c r="Q93" s="50"/>
      <c r="R93" s="50"/>
      <c r="S93" s="50"/>
      <c r="T93" s="50"/>
      <c r="U93" s="50"/>
      <c r="V93" s="50"/>
      <c r="W93" s="50"/>
      <c r="X93" s="50"/>
      <c r="Y93" s="50"/>
      <c r="Z93" s="50"/>
    </row>
    <row r="94" spans="1:26" ht="15.75" customHeight="1" x14ac:dyDescent="0.35">
      <c r="A94" s="50"/>
      <c r="B94" s="53" t="s">
        <v>102</v>
      </c>
      <c r="C94" s="54"/>
      <c r="D94" s="121">
        <f t="shared" ref="D94:F94" si="41">D46</f>
        <v>100</v>
      </c>
      <c r="E94" s="121">
        <f t="shared" si="41"/>
        <v>100</v>
      </c>
      <c r="F94" s="121">
        <f t="shared" si="41"/>
        <v>100</v>
      </c>
      <c r="G94" s="64">
        <f t="shared" ref="G94:P94" si="42">IFERROR(F94*(1+$D$60),"")</f>
        <v>101</v>
      </c>
      <c r="H94" s="64">
        <f t="shared" si="42"/>
        <v>102.01</v>
      </c>
      <c r="I94" s="64">
        <f t="shared" si="42"/>
        <v>103.0301</v>
      </c>
      <c r="J94" s="64">
        <f t="shared" si="42"/>
        <v>104.060401</v>
      </c>
      <c r="K94" s="64">
        <f t="shared" si="42"/>
        <v>105.10100500999999</v>
      </c>
      <c r="L94" s="64">
        <f t="shared" si="42"/>
        <v>106.1520150601</v>
      </c>
      <c r="M94" s="64">
        <f t="shared" si="42"/>
        <v>107.213535210701</v>
      </c>
      <c r="N94" s="64">
        <f t="shared" si="42"/>
        <v>108.28567056280801</v>
      </c>
      <c r="O94" s="64">
        <f t="shared" si="42"/>
        <v>109.36852726843608</v>
      </c>
      <c r="P94" s="122">
        <f t="shared" si="42"/>
        <v>110.46221254112045</v>
      </c>
      <c r="Q94" s="50"/>
      <c r="R94" s="50"/>
      <c r="S94" s="50"/>
      <c r="T94" s="50"/>
      <c r="U94" s="50"/>
      <c r="V94" s="50"/>
      <c r="W94" s="50"/>
      <c r="X94" s="50"/>
      <c r="Y94" s="50"/>
      <c r="Z94" s="50"/>
    </row>
    <row r="95" spans="1:26" ht="15.75" customHeight="1" x14ac:dyDescent="0.35">
      <c r="A95" s="50"/>
      <c r="B95" s="53" t="s">
        <v>103</v>
      </c>
      <c r="C95" s="54"/>
      <c r="D95" s="121">
        <f t="shared" ref="D95:F95" si="43">D47</f>
        <v>100</v>
      </c>
      <c r="E95" s="121">
        <f t="shared" si="43"/>
        <v>100</v>
      </c>
      <c r="F95" s="121">
        <f t="shared" si="43"/>
        <v>100</v>
      </c>
      <c r="G95" s="64">
        <f t="shared" ref="G95:P95" si="44">IFERROR(F95*(1+$D$60),"")</f>
        <v>101</v>
      </c>
      <c r="H95" s="64">
        <f t="shared" si="44"/>
        <v>102.01</v>
      </c>
      <c r="I95" s="64">
        <f t="shared" si="44"/>
        <v>103.0301</v>
      </c>
      <c r="J95" s="64">
        <f t="shared" si="44"/>
        <v>104.060401</v>
      </c>
      <c r="K95" s="64">
        <f t="shared" si="44"/>
        <v>105.10100500999999</v>
      </c>
      <c r="L95" s="64">
        <f t="shared" si="44"/>
        <v>106.1520150601</v>
      </c>
      <c r="M95" s="64">
        <f t="shared" si="44"/>
        <v>107.213535210701</v>
      </c>
      <c r="N95" s="64">
        <f t="shared" si="44"/>
        <v>108.28567056280801</v>
      </c>
      <c r="O95" s="64">
        <f t="shared" si="44"/>
        <v>109.36852726843608</v>
      </c>
      <c r="P95" s="122">
        <f t="shared" si="44"/>
        <v>110.46221254112045</v>
      </c>
      <c r="Q95" s="50"/>
      <c r="R95" s="50"/>
      <c r="S95" s="50"/>
      <c r="T95" s="50"/>
      <c r="U95" s="50"/>
      <c r="V95" s="50"/>
      <c r="W95" s="50"/>
      <c r="X95" s="50"/>
      <c r="Y95" s="50"/>
      <c r="Z95" s="50"/>
    </row>
    <row r="96" spans="1:26" ht="15.75" customHeight="1" x14ac:dyDescent="0.35">
      <c r="A96" s="50"/>
      <c r="B96" s="46" t="s">
        <v>133</v>
      </c>
      <c r="C96" s="65"/>
      <c r="D96" s="123"/>
      <c r="E96" s="123"/>
      <c r="F96" s="123"/>
      <c r="G96" s="50"/>
      <c r="H96" s="50"/>
      <c r="I96" s="50"/>
      <c r="J96" s="50"/>
      <c r="K96" s="50"/>
      <c r="L96" s="50"/>
      <c r="M96" s="50"/>
      <c r="N96" s="50"/>
      <c r="O96" s="50"/>
      <c r="P96" s="115"/>
      <c r="Q96" s="50"/>
      <c r="R96" s="50"/>
      <c r="S96" s="50"/>
      <c r="T96" s="50"/>
      <c r="U96" s="50"/>
      <c r="V96" s="50"/>
      <c r="W96" s="50"/>
      <c r="X96" s="50"/>
      <c r="Y96" s="50"/>
      <c r="Z96" s="50"/>
    </row>
    <row r="97" spans="1:26" ht="15.75" customHeight="1" x14ac:dyDescent="0.35">
      <c r="A97" s="50"/>
      <c r="B97" s="53" t="s">
        <v>93</v>
      </c>
      <c r="C97" s="116" t="s">
        <v>94</v>
      </c>
      <c r="D97" s="80">
        <f t="shared" ref="D97:F97" si="45">D26</f>
        <v>100</v>
      </c>
      <c r="E97" s="80">
        <f t="shared" si="45"/>
        <v>100</v>
      </c>
      <c r="F97" s="80">
        <f t="shared" si="45"/>
        <v>100</v>
      </c>
      <c r="G97" s="120">
        <f t="shared" ref="G97:P97" si="46">F97*(1+$D$62)</f>
        <v>105</v>
      </c>
      <c r="H97" s="120">
        <f t="shared" si="46"/>
        <v>110.25</v>
      </c>
      <c r="I97" s="120">
        <f t="shared" si="46"/>
        <v>115.7625</v>
      </c>
      <c r="J97" s="120">
        <f t="shared" si="46"/>
        <v>121.55062500000001</v>
      </c>
      <c r="K97" s="120">
        <f t="shared" si="46"/>
        <v>127.62815625000002</v>
      </c>
      <c r="L97" s="120">
        <f t="shared" si="46"/>
        <v>134.00956406250003</v>
      </c>
      <c r="M97" s="120">
        <f t="shared" si="46"/>
        <v>140.71004226562505</v>
      </c>
      <c r="N97" s="120">
        <f t="shared" si="46"/>
        <v>147.74554437890632</v>
      </c>
      <c r="O97" s="120">
        <f t="shared" si="46"/>
        <v>155.13282159785163</v>
      </c>
      <c r="P97" s="124">
        <f t="shared" si="46"/>
        <v>162.88946267774421</v>
      </c>
      <c r="Q97" s="50"/>
      <c r="R97" s="50"/>
      <c r="S97" s="50"/>
      <c r="T97" s="50"/>
      <c r="U97" s="50"/>
      <c r="V97" s="50"/>
      <c r="W97" s="50"/>
      <c r="X97" s="50"/>
      <c r="Y97" s="50"/>
      <c r="Z97" s="50"/>
    </row>
    <row r="98" spans="1:26" ht="15.75" customHeight="1" x14ac:dyDescent="0.35">
      <c r="A98" s="50"/>
      <c r="B98" s="53" t="s">
        <v>95</v>
      </c>
      <c r="C98" s="116" t="s">
        <v>94</v>
      </c>
      <c r="D98" s="80">
        <f t="shared" ref="D98:F98" si="47">D27</f>
        <v>100</v>
      </c>
      <c r="E98" s="80">
        <f t="shared" si="47"/>
        <v>100</v>
      </c>
      <c r="F98" s="80">
        <f t="shared" si="47"/>
        <v>100</v>
      </c>
      <c r="G98" s="120">
        <f t="shared" ref="G98:P98" si="48">F98*(1+$D$62)</f>
        <v>105</v>
      </c>
      <c r="H98" s="120">
        <f t="shared" si="48"/>
        <v>110.25</v>
      </c>
      <c r="I98" s="120">
        <f t="shared" si="48"/>
        <v>115.7625</v>
      </c>
      <c r="J98" s="120">
        <f t="shared" si="48"/>
        <v>121.55062500000001</v>
      </c>
      <c r="K98" s="120">
        <f t="shared" si="48"/>
        <v>127.62815625000002</v>
      </c>
      <c r="L98" s="120">
        <f t="shared" si="48"/>
        <v>134.00956406250003</v>
      </c>
      <c r="M98" s="120">
        <f t="shared" si="48"/>
        <v>140.71004226562505</v>
      </c>
      <c r="N98" s="120">
        <f t="shared" si="48"/>
        <v>147.74554437890632</v>
      </c>
      <c r="O98" s="120">
        <f t="shared" si="48"/>
        <v>155.13282159785163</v>
      </c>
      <c r="P98" s="124">
        <f t="shared" si="48"/>
        <v>162.88946267774421</v>
      </c>
      <c r="Q98" s="50"/>
      <c r="R98" s="50"/>
      <c r="S98" s="50"/>
      <c r="T98" s="50"/>
      <c r="U98" s="50"/>
      <c r="V98" s="50"/>
      <c r="W98" s="50"/>
      <c r="X98" s="50"/>
      <c r="Y98" s="50"/>
      <c r="Z98" s="50"/>
    </row>
    <row r="99" spans="1:26" ht="15.75" customHeight="1" x14ac:dyDescent="0.35">
      <c r="A99" s="50"/>
      <c r="B99" s="53" t="s">
        <v>96</v>
      </c>
      <c r="C99" s="116" t="s">
        <v>94</v>
      </c>
      <c r="D99" s="80">
        <f t="shared" ref="D99:F99" si="49">D28</f>
        <v>100</v>
      </c>
      <c r="E99" s="80">
        <f t="shared" si="49"/>
        <v>100</v>
      </c>
      <c r="F99" s="80">
        <f t="shared" si="49"/>
        <v>100</v>
      </c>
      <c r="G99" s="120">
        <f t="shared" ref="G99:P99" si="50">F99*(1+$D$62)</f>
        <v>105</v>
      </c>
      <c r="H99" s="120">
        <f t="shared" si="50"/>
        <v>110.25</v>
      </c>
      <c r="I99" s="120">
        <f t="shared" si="50"/>
        <v>115.7625</v>
      </c>
      <c r="J99" s="120">
        <f t="shared" si="50"/>
        <v>121.55062500000001</v>
      </c>
      <c r="K99" s="120">
        <f t="shared" si="50"/>
        <v>127.62815625000002</v>
      </c>
      <c r="L99" s="120">
        <f t="shared" si="50"/>
        <v>134.00956406250003</v>
      </c>
      <c r="M99" s="120">
        <f t="shared" si="50"/>
        <v>140.71004226562505</v>
      </c>
      <c r="N99" s="120">
        <f t="shared" si="50"/>
        <v>147.74554437890632</v>
      </c>
      <c r="O99" s="120">
        <f t="shared" si="50"/>
        <v>155.13282159785163</v>
      </c>
      <c r="P99" s="124">
        <f t="shared" si="50"/>
        <v>162.88946267774421</v>
      </c>
      <c r="Q99" s="50"/>
      <c r="R99" s="50"/>
      <c r="S99" s="50"/>
      <c r="T99" s="50"/>
      <c r="U99" s="50"/>
      <c r="V99" s="50"/>
      <c r="W99" s="50"/>
      <c r="X99" s="50"/>
      <c r="Y99" s="50"/>
      <c r="Z99" s="50"/>
    </row>
    <row r="100" spans="1:26" ht="15.75" customHeight="1" x14ac:dyDescent="0.35">
      <c r="A100" s="50"/>
      <c r="B100" s="53" t="s">
        <v>97</v>
      </c>
      <c r="C100" s="116" t="s">
        <v>94</v>
      </c>
      <c r="D100" s="80">
        <f t="shared" ref="D100:F100" si="51">D29</f>
        <v>100</v>
      </c>
      <c r="E100" s="80">
        <f t="shared" si="51"/>
        <v>100</v>
      </c>
      <c r="F100" s="80">
        <f t="shared" si="51"/>
        <v>100</v>
      </c>
      <c r="G100" s="120">
        <f t="shared" ref="G100:P100" si="52">F100*(1+$D$62)</f>
        <v>105</v>
      </c>
      <c r="H100" s="120">
        <f t="shared" si="52"/>
        <v>110.25</v>
      </c>
      <c r="I100" s="120">
        <f t="shared" si="52"/>
        <v>115.7625</v>
      </c>
      <c r="J100" s="120">
        <f t="shared" si="52"/>
        <v>121.55062500000001</v>
      </c>
      <c r="K100" s="120">
        <f t="shared" si="52"/>
        <v>127.62815625000002</v>
      </c>
      <c r="L100" s="120">
        <f t="shared" si="52"/>
        <v>134.00956406250003</v>
      </c>
      <c r="M100" s="120">
        <f t="shared" si="52"/>
        <v>140.71004226562505</v>
      </c>
      <c r="N100" s="120">
        <f t="shared" si="52"/>
        <v>147.74554437890632</v>
      </c>
      <c r="O100" s="120">
        <f t="shared" si="52"/>
        <v>155.13282159785163</v>
      </c>
      <c r="P100" s="124">
        <f t="shared" si="52"/>
        <v>162.88946267774421</v>
      </c>
      <c r="Q100" s="50"/>
      <c r="R100" s="50"/>
      <c r="S100" s="50"/>
      <c r="T100" s="50"/>
      <c r="U100" s="50"/>
      <c r="V100" s="50"/>
      <c r="W100" s="50"/>
      <c r="X100" s="50"/>
      <c r="Y100" s="50"/>
      <c r="Z100" s="50"/>
    </row>
    <row r="101" spans="1:26" ht="15.75" customHeight="1" x14ac:dyDescent="0.35">
      <c r="A101" s="50"/>
      <c r="B101" s="53" t="s">
        <v>98</v>
      </c>
      <c r="C101" s="116" t="s">
        <v>94</v>
      </c>
      <c r="D101" s="80">
        <f t="shared" ref="D101:F101" si="53">D30</f>
        <v>100</v>
      </c>
      <c r="E101" s="80">
        <f t="shared" si="53"/>
        <v>100</v>
      </c>
      <c r="F101" s="80">
        <f t="shared" si="53"/>
        <v>100</v>
      </c>
      <c r="G101" s="120">
        <f t="shared" ref="G101:P101" si="54">F101*(1+$D$62)</f>
        <v>105</v>
      </c>
      <c r="H101" s="120">
        <f t="shared" si="54"/>
        <v>110.25</v>
      </c>
      <c r="I101" s="120">
        <f t="shared" si="54"/>
        <v>115.7625</v>
      </c>
      <c r="J101" s="120">
        <f t="shared" si="54"/>
        <v>121.55062500000001</v>
      </c>
      <c r="K101" s="120">
        <f t="shared" si="54"/>
        <v>127.62815625000002</v>
      </c>
      <c r="L101" s="120">
        <f t="shared" si="54"/>
        <v>134.00956406250003</v>
      </c>
      <c r="M101" s="120">
        <f t="shared" si="54"/>
        <v>140.71004226562505</v>
      </c>
      <c r="N101" s="120">
        <f t="shared" si="54"/>
        <v>147.74554437890632</v>
      </c>
      <c r="O101" s="120">
        <f t="shared" si="54"/>
        <v>155.13282159785163</v>
      </c>
      <c r="P101" s="124">
        <f t="shared" si="54"/>
        <v>162.88946267774421</v>
      </c>
      <c r="Q101" s="50"/>
      <c r="R101" s="50"/>
      <c r="S101" s="50"/>
      <c r="T101" s="50"/>
      <c r="U101" s="50"/>
      <c r="V101" s="50"/>
      <c r="W101" s="50"/>
      <c r="X101" s="50"/>
      <c r="Y101" s="50"/>
      <c r="Z101" s="50"/>
    </row>
    <row r="102" spans="1:26" ht="15.75" customHeight="1" x14ac:dyDescent="0.35">
      <c r="A102" s="50"/>
      <c r="B102" s="53" t="s">
        <v>99</v>
      </c>
      <c r="C102" s="116" t="s">
        <v>94</v>
      </c>
      <c r="D102" s="80">
        <f t="shared" ref="D102:F102" si="55">D31</f>
        <v>100</v>
      </c>
      <c r="E102" s="80">
        <f t="shared" si="55"/>
        <v>100</v>
      </c>
      <c r="F102" s="80">
        <f t="shared" si="55"/>
        <v>100</v>
      </c>
      <c r="G102" s="120">
        <f t="shared" ref="G102:P102" si="56">F102*(1+$D$62)</f>
        <v>105</v>
      </c>
      <c r="H102" s="120">
        <f t="shared" si="56"/>
        <v>110.25</v>
      </c>
      <c r="I102" s="120">
        <f t="shared" si="56"/>
        <v>115.7625</v>
      </c>
      <c r="J102" s="120">
        <f t="shared" si="56"/>
        <v>121.55062500000001</v>
      </c>
      <c r="K102" s="120">
        <f t="shared" si="56"/>
        <v>127.62815625000002</v>
      </c>
      <c r="L102" s="120">
        <f t="shared" si="56"/>
        <v>134.00956406250003</v>
      </c>
      <c r="M102" s="120">
        <f t="shared" si="56"/>
        <v>140.71004226562505</v>
      </c>
      <c r="N102" s="120">
        <f t="shared" si="56"/>
        <v>147.74554437890632</v>
      </c>
      <c r="O102" s="120">
        <f t="shared" si="56"/>
        <v>155.13282159785163</v>
      </c>
      <c r="P102" s="124">
        <f t="shared" si="56"/>
        <v>162.88946267774421</v>
      </c>
      <c r="Q102" s="50"/>
      <c r="R102" s="50"/>
      <c r="S102" s="50"/>
      <c r="T102" s="50"/>
      <c r="U102" s="50"/>
      <c r="V102" s="50"/>
      <c r="W102" s="50"/>
      <c r="X102" s="50"/>
      <c r="Y102" s="50"/>
      <c r="Z102" s="50"/>
    </row>
    <row r="103" spans="1:26" ht="15.75" customHeight="1" x14ac:dyDescent="0.35">
      <c r="A103" s="50"/>
      <c r="B103" s="53" t="s">
        <v>100</v>
      </c>
      <c r="C103" s="116" t="s">
        <v>94</v>
      </c>
      <c r="D103" s="80">
        <f t="shared" ref="D103:F103" si="57">D32</f>
        <v>100</v>
      </c>
      <c r="E103" s="80">
        <f t="shared" si="57"/>
        <v>100</v>
      </c>
      <c r="F103" s="80">
        <f t="shared" si="57"/>
        <v>100</v>
      </c>
      <c r="G103" s="120">
        <f t="shared" ref="G103:P103" si="58">F103*(1+$D$62)</f>
        <v>105</v>
      </c>
      <c r="H103" s="120">
        <f t="shared" si="58"/>
        <v>110.25</v>
      </c>
      <c r="I103" s="120">
        <f t="shared" si="58"/>
        <v>115.7625</v>
      </c>
      <c r="J103" s="120">
        <f t="shared" si="58"/>
        <v>121.55062500000001</v>
      </c>
      <c r="K103" s="120">
        <f t="shared" si="58"/>
        <v>127.62815625000002</v>
      </c>
      <c r="L103" s="120">
        <f t="shared" si="58"/>
        <v>134.00956406250003</v>
      </c>
      <c r="M103" s="120">
        <f t="shared" si="58"/>
        <v>140.71004226562505</v>
      </c>
      <c r="N103" s="120">
        <f t="shared" si="58"/>
        <v>147.74554437890632</v>
      </c>
      <c r="O103" s="120">
        <f t="shared" si="58"/>
        <v>155.13282159785163</v>
      </c>
      <c r="P103" s="124">
        <f t="shared" si="58"/>
        <v>162.88946267774421</v>
      </c>
      <c r="Q103" s="50"/>
      <c r="R103" s="50"/>
      <c r="S103" s="50"/>
      <c r="T103" s="50"/>
      <c r="U103" s="50"/>
      <c r="V103" s="50"/>
      <c r="W103" s="50"/>
      <c r="X103" s="50"/>
      <c r="Y103" s="50"/>
      <c r="Z103" s="50"/>
    </row>
    <row r="104" spans="1:26" ht="15.75" customHeight="1" x14ac:dyDescent="0.35">
      <c r="A104" s="50"/>
      <c r="B104" s="53" t="s">
        <v>101</v>
      </c>
      <c r="C104" s="116" t="s">
        <v>94</v>
      </c>
      <c r="D104" s="80">
        <f t="shared" ref="D104:F104" si="59">D33</f>
        <v>100</v>
      </c>
      <c r="E104" s="80">
        <f t="shared" si="59"/>
        <v>100</v>
      </c>
      <c r="F104" s="80">
        <f t="shared" si="59"/>
        <v>100</v>
      </c>
      <c r="G104" s="120">
        <f t="shared" ref="G104:P104" si="60">F104*(1+$D$62)</f>
        <v>105</v>
      </c>
      <c r="H104" s="120">
        <f t="shared" si="60"/>
        <v>110.25</v>
      </c>
      <c r="I104" s="120">
        <f t="shared" si="60"/>
        <v>115.7625</v>
      </c>
      <c r="J104" s="120">
        <f t="shared" si="60"/>
        <v>121.55062500000001</v>
      </c>
      <c r="K104" s="120">
        <f t="shared" si="60"/>
        <v>127.62815625000002</v>
      </c>
      <c r="L104" s="120">
        <f t="shared" si="60"/>
        <v>134.00956406250003</v>
      </c>
      <c r="M104" s="120">
        <f t="shared" si="60"/>
        <v>140.71004226562505</v>
      </c>
      <c r="N104" s="120">
        <f t="shared" si="60"/>
        <v>147.74554437890632</v>
      </c>
      <c r="O104" s="120">
        <f t="shared" si="60"/>
        <v>155.13282159785163</v>
      </c>
      <c r="P104" s="124">
        <f t="shared" si="60"/>
        <v>162.88946267774421</v>
      </c>
      <c r="Q104" s="50"/>
      <c r="R104" s="50"/>
      <c r="S104" s="50"/>
      <c r="T104" s="50"/>
      <c r="U104" s="50"/>
      <c r="V104" s="50"/>
      <c r="W104" s="50"/>
      <c r="X104" s="50"/>
      <c r="Y104" s="50"/>
      <c r="Z104" s="50"/>
    </row>
    <row r="105" spans="1:26" ht="15.75" customHeight="1" x14ac:dyDescent="0.35">
      <c r="A105" s="50"/>
      <c r="B105" s="53" t="s">
        <v>102</v>
      </c>
      <c r="C105" s="116" t="s">
        <v>94</v>
      </c>
      <c r="D105" s="80">
        <f t="shared" ref="D105:F105" si="61">D34</f>
        <v>100</v>
      </c>
      <c r="E105" s="80">
        <f t="shared" si="61"/>
        <v>100</v>
      </c>
      <c r="F105" s="80">
        <f t="shared" si="61"/>
        <v>100</v>
      </c>
      <c r="G105" s="120">
        <f t="shared" ref="G105:P105" si="62">F105*(1+$D$62)</f>
        <v>105</v>
      </c>
      <c r="H105" s="120">
        <f t="shared" si="62"/>
        <v>110.25</v>
      </c>
      <c r="I105" s="120">
        <f t="shared" si="62"/>
        <v>115.7625</v>
      </c>
      <c r="J105" s="120">
        <f t="shared" si="62"/>
        <v>121.55062500000001</v>
      </c>
      <c r="K105" s="120">
        <f t="shared" si="62"/>
        <v>127.62815625000002</v>
      </c>
      <c r="L105" s="120">
        <f t="shared" si="62"/>
        <v>134.00956406250003</v>
      </c>
      <c r="M105" s="120">
        <f t="shared" si="62"/>
        <v>140.71004226562505</v>
      </c>
      <c r="N105" s="120">
        <f t="shared" si="62"/>
        <v>147.74554437890632</v>
      </c>
      <c r="O105" s="120">
        <f t="shared" si="62"/>
        <v>155.13282159785163</v>
      </c>
      <c r="P105" s="124">
        <f t="shared" si="62"/>
        <v>162.88946267774421</v>
      </c>
      <c r="Q105" s="50"/>
      <c r="R105" s="50"/>
      <c r="S105" s="50"/>
      <c r="T105" s="50"/>
      <c r="U105" s="50"/>
      <c r="V105" s="50"/>
      <c r="W105" s="50"/>
      <c r="X105" s="50"/>
      <c r="Y105" s="50"/>
      <c r="Z105" s="50"/>
    </row>
    <row r="106" spans="1:26" ht="15.75" customHeight="1" x14ac:dyDescent="0.35">
      <c r="A106" s="50"/>
      <c r="B106" s="53" t="s">
        <v>103</v>
      </c>
      <c r="C106" s="116" t="s">
        <v>94</v>
      </c>
      <c r="D106" s="80">
        <f t="shared" ref="D106:F106" si="63">D35</f>
        <v>100</v>
      </c>
      <c r="E106" s="80">
        <f t="shared" si="63"/>
        <v>100</v>
      </c>
      <c r="F106" s="80">
        <f t="shared" si="63"/>
        <v>100</v>
      </c>
      <c r="G106" s="120">
        <f t="shared" ref="G106:P106" si="64">F106*(1+$D$62)</f>
        <v>105</v>
      </c>
      <c r="H106" s="120">
        <f t="shared" si="64"/>
        <v>110.25</v>
      </c>
      <c r="I106" s="120">
        <f t="shared" si="64"/>
        <v>115.7625</v>
      </c>
      <c r="J106" s="120">
        <f t="shared" si="64"/>
        <v>121.55062500000001</v>
      </c>
      <c r="K106" s="120">
        <f t="shared" si="64"/>
        <v>127.62815625000002</v>
      </c>
      <c r="L106" s="120">
        <f t="shared" si="64"/>
        <v>134.00956406250003</v>
      </c>
      <c r="M106" s="120">
        <f t="shared" si="64"/>
        <v>140.71004226562505</v>
      </c>
      <c r="N106" s="120">
        <f t="shared" si="64"/>
        <v>147.74554437890632</v>
      </c>
      <c r="O106" s="120">
        <f t="shared" si="64"/>
        <v>155.13282159785163</v>
      </c>
      <c r="P106" s="124">
        <f t="shared" si="64"/>
        <v>162.88946267774421</v>
      </c>
      <c r="Q106" s="50"/>
      <c r="R106" s="50"/>
      <c r="S106" s="50"/>
      <c r="T106" s="50"/>
      <c r="U106" s="50"/>
      <c r="V106" s="50"/>
      <c r="W106" s="50"/>
      <c r="X106" s="50"/>
      <c r="Y106" s="50"/>
      <c r="Z106" s="50"/>
    </row>
    <row r="107" spans="1:26" ht="15.75" customHeight="1" x14ac:dyDescent="0.35">
      <c r="A107" s="32"/>
      <c r="B107" s="58" t="s">
        <v>65</v>
      </c>
      <c r="C107" s="116" t="s">
        <v>94</v>
      </c>
      <c r="D107" s="118">
        <f t="shared" ref="D107:P107" si="65">SUM(D97:D106)</f>
        <v>1000</v>
      </c>
      <c r="E107" s="118">
        <f t="shared" si="65"/>
        <v>1000</v>
      </c>
      <c r="F107" s="118">
        <f t="shared" si="65"/>
        <v>1000</v>
      </c>
      <c r="G107" s="118">
        <f t="shared" si="65"/>
        <v>1050</v>
      </c>
      <c r="H107" s="118">
        <f t="shared" si="65"/>
        <v>1102.5</v>
      </c>
      <c r="I107" s="118">
        <f t="shared" si="65"/>
        <v>1157.6250000000002</v>
      </c>
      <c r="J107" s="118">
        <f t="shared" si="65"/>
        <v>1215.5062500000001</v>
      </c>
      <c r="K107" s="118">
        <f t="shared" si="65"/>
        <v>1276.2815625000005</v>
      </c>
      <c r="L107" s="118">
        <f t="shared" si="65"/>
        <v>1340.095640625</v>
      </c>
      <c r="M107" s="118">
        <f t="shared" si="65"/>
        <v>1407.1004226562507</v>
      </c>
      <c r="N107" s="118">
        <f t="shared" si="65"/>
        <v>1477.4554437890631</v>
      </c>
      <c r="O107" s="118">
        <f t="shared" si="65"/>
        <v>1551.3282159785165</v>
      </c>
      <c r="P107" s="119">
        <f t="shared" si="65"/>
        <v>1628.894626777442</v>
      </c>
      <c r="Q107" s="32"/>
      <c r="R107" s="32"/>
      <c r="S107" s="32"/>
      <c r="T107" s="32"/>
      <c r="U107" s="32"/>
      <c r="V107" s="32"/>
      <c r="W107" s="32"/>
      <c r="X107" s="32"/>
      <c r="Y107" s="32"/>
      <c r="Z107" s="32"/>
    </row>
    <row r="108" spans="1:26" ht="15.75" customHeight="1" x14ac:dyDescent="0.35">
      <c r="A108" s="50"/>
      <c r="B108" s="62" t="s">
        <v>134</v>
      </c>
      <c r="C108" s="65"/>
      <c r="D108" s="123"/>
      <c r="E108" s="123"/>
      <c r="F108" s="123"/>
      <c r="G108" s="50"/>
      <c r="H108" s="50"/>
      <c r="I108" s="50"/>
      <c r="J108" s="50"/>
      <c r="K108" s="50"/>
      <c r="L108" s="50"/>
      <c r="M108" s="50"/>
      <c r="N108" s="50"/>
      <c r="O108" s="50"/>
      <c r="P108" s="115"/>
      <c r="Q108" s="50"/>
      <c r="R108" s="50"/>
      <c r="S108" s="50"/>
      <c r="T108" s="50"/>
      <c r="U108" s="50"/>
      <c r="V108" s="50"/>
      <c r="W108" s="50"/>
      <c r="X108" s="50"/>
      <c r="Y108" s="50"/>
      <c r="Z108" s="50"/>
    </row>
    <row r="109" spans="1:26" ht="15.75" customHeight="1" x14ac:dyDescent="0.35">
      <c r="A109" s="50"/>
      <c r="B109" s="53" t="s">
        <v>93</v>
      </c>
      <c r="C109" s="65"/>
      <c r="D109" s="125">
        <f t="shared" ref="D109:F109" si="66">D49</f>
        <v>50</v>
      </c>
      <c r="E109" s="125">
        <f t="shared" si="66"/>
        <v>50</v>
      </c>
      <c r="F109" s="125">
        <f t="shared" si="66"/>
        <v>50</v>
      </c>
      <c r="G109" s="126">
        <f t="shared" ref="G109:P109" si="67">IFERROR(F109*(1+$D$67),"")</f>
        <v>50.5</v>
      </c>
      <c r="H109" s="126">
        <f t="shared" si="67"/>
        <v>51.005000000000003</v>
      </c>
      <c r="I109" s="126">
        <f t="shared" si="67"/>
        <v>51.515050000000002</v>
      </c>
      <c r="J109" s="126">
        <f t="shared" si="67"/>
        <v>52.030200499999999</v>
      </c>
      <c r="K109" s="126">
        <f t="shared" si="67"/>
        <v>52.550502504999997</v>
      </c>
      <c r="L109" s="126">
        <f t="shared" si="67"/>
        <v>53.076007530049999</v>
      </c>
      <c r="M109" s="126">
        <f t="shared" si="67"/>
        <v>53.606767605350498</v>
      </c>
      <c r="N109" s="126">
        <f t="shared" si="67"/>
        <v>54.142835281404004</v>
      </c>
      <c r="O109" s="126">
        <f t="shared" si="67"/>
        <v>54.684263634218041</v>
      </c>
      <c r="P109" s="127">
        <f t="shared" si="67"/>
        <v>55.231106270560225</v>
      </c>
      <c r="Q109" s="50"/>
      <c r="R109" s="50"/>
      <c r="S109" s="50"/>
      <c r="T109" s="50"/>
      <c r="U109" s="50"/>
      <c r="V109" s="50"/>
      <c r="W109" s="50"/>
      <c r="X109" s="50"/>
      <c r="Y109" s="50"/>
      <c r="Z109" s="50"/>
    </row>
    <row r="110" spans="1:26" ht="15.75" customHeight="1" x14ac:dyDescent="0.35">
      <c r="A110" s="50"/>
      <c r="B110" s="53" t="s">
        <v>95</v>
      </c>
      <c r="C110" s="65"/>
      <c r="D110" s="125">
        <f t="shared" ref="D110:F110" si="68">D50</f>
        <v>50</v>
      </c>
      <c r="E110" s="125">
        <f t="shared" si="68"/>
        <v>50</v>
      </c>
      <c r="F110" s="125">
        <f t="shared" si="68"/>
        <v>50</v>
      </c>
      <c r="G110" s="126">
        <f t="shared" ref="G110:P110" si="69">IFERROR(F110*(1+$D$67),"")</f>
        <v>50.5</v>
      </c>
      <c r="H110" s="126">
        <f t="shared" si="69"/>
        <v>51.005000000000003</v>
      </c>
      <c r="I110" s="126">
        <f t="shared" si="69"/>
        <v>51.515050000000002</v>
      </c>
      <c r="J110" s="126">
        <f t="shared" si="69"/>
        <v>52.030200499999999</v>
      </c>
      <c r="K110" s="126">
        <f t="shared" si="69"/>
        <v>52.550502504999997</v>
      </c>
      <c r="L110" s="126">
        <f t="shared" si="69"/>
        <v>53.076007530049999</v>
      </c>
      <c r="M110" s="126">
        <f t="shared" si="69"/>
        <v>53.606767605350498</v>
      </c>
      <c r="N110" s="126">
        <f t="shared" si="69"/>
        <v>54.142835281404004</v>
      </c>
      <c r="O110" s="126">
        <f t="shared" si="69"/>
        <v>54.684263634218041</v>
      </c>
      <c r="P110" s="127">
        <f t="shared" si="69"/>
        <v>55.231106270560225</v>
      </c>
      <c r="Q110" s="50"/>
      <c r="R110" s="50"/>
      <c r="S110" s="50"/>
      <c r="T110" s="50"/>
      <c r="U110" s="50"/>
      <c r="V110" s="50"/>
      <c r="W110" s="50"/>
      <c r="X110" s="50"/>
      <c r="Y110" s="50"/>
      <c r="Z110" s="50"/>
    </row>
    <row r="111" spans="1:26" ht="15.75" customHeight="1" x14ac:dyDescent="0.35">
      <c r="A111" s="50"/>
      <c r="B111" s="53" t="s">
        <v>96</v>
      </c>
      <c r="C111" s="65"/>
      <c r="D111" s="125">
        <f t="shared" ref="D111:F111" si="70">D51</f>
        <v>50</v>
      </c>
      <c r="E111" s="125">
        <f t="shared" si="70"/>
        <v>50</v>
      </c>
      <c r="F111" s="125">
        <f t="shared" si="70"/>
        <v>50</v>
      </c>
      <c r="G111" s="126">
        <f t="shared" ref="G111:P111" si="71">IFERROR(F111*(1+$D$67),"")</f>
        <v>50.5</v>
      </c>
      <c r="H111" s="126">
        <f t="shared" si="71"/>
        <v>51.005000000000003</v>
      </c>
      <c r="I111" s="126">
        <f t="shared" si="71"/>
        <v>51.515050000000002</v>
      </c>
      <c r="J111" s="126">
        <f t="shared" si="71"/>
        <v>52.030200499999999</v>
      </c>
      <c r="K111" s="126">
        <f t="shared" si="71"/>
        <v>52.550502504999997</v>
      </c>
      <c r="L111" s="126">
        <f t="shared" si="71"/>
        <v>53.076007530049999</v>
      </c>
      <c r="M111" s="126">
        <f t="shared" si="71"/>
        <v>53.606767605350498</v>
      </c>
      <c r="N111" s="126">
        <f t="shared" si="71"/>
        <v>54.142835281404004</v>
      </c>
      <c r="O111" s="126">
        <f t="shared" si="71"/>
        <v>54.684263634218041</v>
      </c>
      <c r="P111" s="127">
        <f t="shared" si="71"/>
        <v>55.231106270560225</v>
      </c>
      <c r="Q111" s="50"/>
      <c r="R111" s="50"/>
      <c r="S111" s="50"/>
      <c r="T111" s="50"/>
      <c r="U111" s="50"/>
      <c r="V111" s="50"/>
      <c r="W111" s="50"/>
      <c r="X111" s="50"/>
      <c r="Y111" s="50"/>
      <c r="Z111" s="50"/>
    </row>
    <row r="112" spans="1:26" ht="15.75" customHeight="1" x14ac:dyDescent="0.35">
      <c r="A112" s="50"/>
      <c r="B112" s="53" t="s">
        <v>97</v>
      </c>
      <c r="C112" s="65"/>
      <c r="D112" s="125">
        <f t="shared" ref="D112:F112" si="72">D52</f>
        <v>50</v>
      </c>
      <c r="E112" s="125">
        <f t="shared" si="72"/>
        <v>50</v>
      </c>
      <c r="F112" s="125">
        <f t="shared" si="72"/>
        <v>50</v>
      </c>
      <c r="G112" s="126">
        <f t="shared" ref="G112:P112" si="73">IFERROR(F112*(1+$D$67),"")</f>
        <v>50.5</v>
      </c>
      <c r="H112" s="126">
        <f t="shared" si="73"/>
        <v>51.005000000000003</v>
      </c>
      <c r="I112" s="126">
        <f t="shared" si="73"/>
        <v>51.515050000000002</v>
      </c>
      <c r="J112" s="126">
        <f t="shared" si="73"/>
        <v>52.030200499999999</v>
      </c>
      <c r="K112" s="126">
        <f t="shared" si="73"/>
        <v>52.550502504999997</v>
      </c>
      <c r="L112" s="126">
        <f t="shared" si="73"/>
        <v>53.076007530049999</v>
      </c>
      <c r="M112" s="126">
        <f t="shared" si="73"/>
        <v>53.606767605350498</v>
      </c>
      <c r="N112" s="126">
        <f t="shared" si="73"/>
        <v>54.142835281404004</v>
      </c>
      <c r="O112" s="126">
        <f t="shared" si="73"/>
        <v>54.684263634218041</v>
      </c>
      <c r="P112" s="127">
        <f t="shared" si="73"/>
        <v>55.231106270560225</v>
      </c>
      <c r="Q112" s="50"/>
      <c r="R112" s="50"/>
      <c r="S112" s="50"/>
      <c r="T112" s="50"/>
      <c r="U112" s="50"/>
      <c r="V112" s="50"/>
      <c r="W112" s="50"/>
      <c r="X112" s="50"/>
      <c r="Y112" s="50"/>
      <c r="Z112" s="50"/>
    </row>
    <row r="113" spans="1:26" ht="15.75" customHeight="1" x14ac:dyDescent="0.35">
      <c r="A113" s="50"/>
      <c r="B113" s="53" t="s">
        <v>98</v>
      </c>
      <c r="C113" s="65"/>
      <c r="D113" s="125">
        <f t="shared" ref="D113:F113" si="74">D53</f>
        <v>50</v>
      </c>
      <c r="E113" s="125">
        <f t="shared" si="74"/>
        <v>50</v>
      </c>
      <c r="F113" s="125">
        <f t="shared" si="74"/>
        <v>50</v>
      </c>
      <c r="G113" s="126">
        <f t="shared" ref="G113:P113" si="75">IFERROR(F113*(1+$D$67),"")</f>
        <v>50.5</v>
      </c>
      <c r="H113" s="126">
        <f t="shared" si="75"/>
        <v>51.005000000000003</v>
      </c>
      <c r="I113" s="126">
        <f t="shared" si="75"/>
        <v>51.515050000000002</v>
      </c>
      <c r="J113" s="126">
        <f t="shared" si="75"/>
        <v>52.030200499999999</v>
      </c>
      <c r="K113" s="126">
        <f t="shared" si="75"/>
        <v>52.550502504999997</v>
      </c>
      <c r="L113" s="126">
        <f t="shared" si="75"/>
        <v>53.076007530049999</v>
      </c>
      <c r="M113" s="126">
        <f t="shared" si="75"/>
        <v>53.606767605350498</v>
      </c>
      <c r="N113" s="126">
        <f t="shared" si="75"/>
        <v>54.142835281404004</v>
      </c>
      <c r="O113" s="126">
        <f t="shared" si="75"/>
        <v>54.684263634218041</v>
      </c>
      <c r="P113" s="127">
        <f t="shared" si="75"/>
        <v>55.231106270560225</v>
      </c>
      <c r="Q113" s="50"/>
      <c r="R113" s="50"/>
      <c r="S113" s="50"/>
      <c r="T113" s="50"/>
      <c r="U113" s="50"/>
      <c r="V113" s="50"/>
      <c r="W113" s="50"/>
      <c r="X113" s="50"/>
      <c r="Y113" s="50"/>
      <c r="Z113" s="50"/>
    </row>
    <row r="114" spans="1:26" ht="15.75" customHeight="1" x14ac:dyDescent="0.35">
      <c r="A114" s="50"/>
      <c r="B114" s="53" t="s">
        <v>99</v>
      </c>
      <c r="C114" s="65"/>
      <c r="D114" s="125">
        <f t="shared" ref="D114:F114" si="76">D54</f>
        <v>50</v>
      </c>
      <c r="E114" s="125">
        <f t="shared" si="76"/>
        <v>50</v>
      </c>
      <c r="F114" s="125">
        <f t="shared" si="76"/>
        <v>50</v>
      </c>
      <c r="G114" s="126">
        <f t="shared" ref="G114:P114" si="77">IFERROR(F114*(1+$D$67),"")</f>
        <v>50.5</v>
      </c>
      <c r="H114" s="126">
        <f t="shared" si="77"/>
        <v>51.005000000000003</v>
      </c>
      <c r="I114" s="126">
        <f t="shared" si="77"/>
        <v>51.515050000000002</v>
      </c>
      <c r="J114" s="126">
        <f t="shared" si="77"/>
        <v>52.030200499999999</v>
      </c>
      <c r="K114" s="126">
        <f t="shared" si="77"/>
        <v>52.550502504999997</v>
      </c>
      <c r="L114" s="126">
        <f t="shared" si="77"/>
        <v>53.076007530049999</v>
      </c>
      <c r="M114" s="126">
        <f t="shared" si="77"/>
        <v>53.606767605350498</v>
      </c>
      <c r="N114" s="126">
        <f t="shared" si="77"/>
        <v>54.142835281404004</v>
      </c>
      <c r="O114" s="126">
        <f t="shared" si="77"/>
        <v>54.684263634218041</v>
      </c>
      <c r="P114" s="127">
        <f t="shared" si="77"/>
        <v>55.231106270560225</v>
      </c>
      <c r="Q114" s="50"/>
      <c r="R114" s="50"/>
      <c r="S114" s="50"/>
      <c r="T114" s="50"/>
      <c r="U114" s="50"/>
      <c r="V114" s="50"/>
      <c r="W114" s="50"/>
      <c r="X114" s="50"/>
      <c r="Y114" s="50"/>
      <c r="Z114" s="50"/>
    </row>
    <row r="115" spans="1:26" ht="15.75" customHeight="1" x14ac:dyDescent="0.35">
      <c r="A115" s="50"/>
      <c r="B115" s="53" t="s">
        <v>100</v>
      </c>
      <c r="C115" s="65"/>
      <c r="D115" s="125">
        <f t="shared" ref="D115:F115" si="78">D55</f>
        <v>50</v>
      </c>
      <c r="E115" s="125">
        <f t="shared" si="78"/>
        <v>50</v>
      </c>
      <c r="F115" s="125">
        <f t="shared" si="78"/>
        <v>50</v>
      </c>
      <c r="G115" s="126">
        <f t="shared" ref="G115:P115" si="79">IFERROR(F115*(1+$D$67),"")</f>
        <v>50.5</v>
      </c>
      <c r="H115" s="126">
        <f t="shared" si="79"/>
        <v>51.005000000000003</v>
      </c>
      <c r="I115" s="126">
        <f t="shared" si="79"/>
        <v>51.515050000000002</v>
      </c>
      <c r="J115" s="126">
        <f t="shared" si="79"/>
        <v>52.030200499999999</v>
      </c>
      <c r="K115" s="126">
        <f t="shared" si="79"/>
        <v>52.550502504999997</v>
      </c>
      <c r="L115" s="126">
        <f t="shared" si="79"/>
        <v>53.076007530049999</v>
      </c>
      <c r="M115" s="126">
        <f t="shared" si="79"/>
        <v>53.606767605350498</v>
      </c>
      <c r="N115" s="126">
        <f t="shared" si="79"/>
        <v>54.142835281404004</v>
      </c>
      <c r="O115" s="126">
        <f t="shared" si="79"/>
        <v>54.684263634218041</v>
      </c>
      <c r="P115" s="127">
        <f t="shared" si="79"/>
        <v>55.231106270560225</v>
      </c>
      <c r="Q115" s="50"/>
      <c r="R115" s="50"/>
      <c r="S115" s="50"/>
      <c r="T115" s="50"/>
      <c r="U115" s="50"/>
      <c r="V115" s="50"/>
      <c r="W115" s="50"/>
      <c r="X115" s="50"/>
      <c r="Y115" s="50"/>
      <c r="Z115" s="50"/>
    </row>
    <row r="116" spans="1:26" ht="15.75" customHeight="1" x14ac:dyDescent="0.35">
      <c r="A116" s="50"/>
      <c r="B116" s="53" t="s">
        <v>101</v>
      </c>
      <c r="C116" s="65"/>
      <c r="D116" s="125">
        <f t="shared" ref="D116:F116" si="80">D56</f>
        <v>50</v>
      </c>
      <c r="E116" s="125">
        <f t="shared" si="80"/>
        <v>50</v>
      </c>
      <c r="F116" s="125">
        <f t="shared" si="80"/>
        <v>50</v>
      </c>
      <c r="G116" s="126">
        <f t="shared" ref="G116:P116" si="81">IFERROR(F116*(1+$D$67),"")</f>
        <v>50.5</v>
      </c>
      <c r="H116" s="126">
        <f t="shared" si="81"/>
        <v>51.005000000000003</v>
      </c>
      <c r="I116" s="126">
        <f t="shared" si="81"/>
        <v>51.515050000000002</v>
      </c>
      <c r="J116" s="126">
        <f t="shared" si="81"/>
        <v>52.030200499999999</v>
      </c>
      <c r="K116" s="126">
        <f t="shared" si="81"/>
        <v>52.550502504999997</v>
      </c>
      <c r="L116" s="126">
        <f t="shared" si="81"/>
        <v>53.076007530049999</v>
      </c>
      <c r="M116" s="126">
        <f t="shared" si="81"/>
        <v>53.606767605350498</v>
      </c>
      <c r="N116" s="126">
        <f t="shared" si="81"/>
        <v>54.142835281404004</v>
      </c>
      <c r="O116" s="126">
        <f t="shared" si="81"/>
        <v>54.684263634218041</v>
      </c>
      <c r="P116" s="127">
        <f t="shared" si="81"/>
        <v>55.231106270560225</v>
      </c>
      <c r="Q116" s="50"/>
      <c r="R116" s="50"/>
      <c r="S116" s="50"/>
      <c r="T116" s="50"/>
      <c r="U116" s="50"/>
      <c r="V116" s="50"/>
      <c r="W116" s="50"/>
      <c r="X116" s="50"/>
      <c r="Y116" s="50"/>
      <c r="Z116" s="50"/>
    </row>
    <row r="117" spans="1:26" ht="15.75" customHeight="1" x14ac:dyDescent="0.35">
      <c r="A117" s="50"/>
      <c r="B117" s="53" t="s">
        <v>102</v>
      </c>
      <c r="C117" s="65"/>
      <c r="D117" s="125">
        <f t="shared" ref="D117:F117" si="82">D57</f>
        <v>50</v>
      </c>
      <c r="E117" s="125">
        <f t="shared" si="82"/>
        <v>50</v>
      </c>
      <c r="F117" s="125">
        <f t="shared" si="82"/>
        <v>50</v>
      </c>
      <c r="G117" s="126">
        <f t="shared" ref="G117:P117" si="83">IFERROR(F117*(1+$D$67),"")</f>
        <v>50.5</v>
      </c>
      <c r="H117" s="126">
        <f t="shared" si="83"/>
        <v>51.005000000000003</v>
      </c>
      <c r="I117" s="126">
        <f t="shared" si="83"/>
        <v>51.515050000000002</v>
      </c>
      <c r="J117" s="126">
        <f t="shared" si="83"/>
        <v>52.030200499999999</v>
      </c>
      <c r="K117" s="126">
        <f t="shared" si="83"/>
        <v>52.550502504999997</v>
      </c>
      <c r="L117" s="126">
        <f t="shared" si="83"/>
        <v>53.076007530049999</v>
      </c>
      <c r="M117" s="126">
        <f t="shared" si="83"/>
        <v>53.606767605350498</v>
      </c>
      <c r="N117" s="126">
        <f t="shared" si="83"/>
        <v>54.142835281404004</v>
      </c>
      <c r="O117" s="126">
        <f t="shared" si="83"/>
        <v>54.684263634218041</v>
      </c>
      <c r="P117" s="127">
        <f t="shared" si="83"/>
        <v>55.231106270560225</v>
      </c>
      <c r="Q117" s="50"/>
      <c r="R117" s="50"/>
      <c r="S117" s="50"/>
      <c r="T117" s="50"/>
      <c r="U117" s="50"/>
      <c r="V117" s="50"/>
      <c r="W117" s="50"/>
      <c r="X117" s="50"/>
      <c r="Y117" s="50"/>
      <c r="Z117" s="50"/>
    </row>
    <row r="118" spans="1:26" ht="15.75" customHeight="1" x14ac:dyDescent="0.35">
      <c r="A118" s="50"/>
      <c r="B118" s="53" t="s">
        <v>103</v>
      </c>
      <c r="C118" s="65"/>
      <c r="D118" s="125">
        <f t="shared" ref="D118:F118" si="84">D58</f>
        <v>50</v>
      </c>
      <c r="E118" s="125">
        <f t="shared" si="84"/>
        <v>50</v>
      </c>
      <c r="F118" s="125">
        <f t="shared" si="84"/>
        <v>50</v>
      </c>
      <c r="G118" s="126">
        <f t="shared" ref="G118:P118" si="85">IFERROR(F118*(1+$D$67),"")</f>
        <v>50.5</v>
      </c>
      <c r="H118" s="126">
        <f t="shared" si="85"/>
        <v>51.005000000000003</v>
      </c>
      <c r="I118" s="126">
        <f t="shared" si="85"/>
        <v>51.515050000000002</v>
      </c>
      <c r="J118" s="126">
        <f t="shared" si="85"/>
        <v>52.030200499999999</v>
      </c>
      <c r="K118" s="126">
        <f t="shared" si="85"/>
        <v>52.550502504999997</v>
      </c>
      <c r="L118" s="126">
        <f t="shared" si="85"/>
        <v>53.076007530049999</v>
      </c>
      <c r="M118" s="126">
        <f t="shared" si="85"/>
        <v>53.606767605350498</v>
      </c>
      <c r="N118" s="126">
        <f t="shared" si="85"/>
        <v>54.142835281404004</v>
      </c>
      <c r="O118" s="126">
        <f t="shared" si="85"/>
        <v>54.684263634218041</v>
      </c>
      <c r="P118" s="127">
        <f t="shared" si="85"/>
        <v>55.231106270560225</v>
      </c>
      <c r="Q118" s="50"/>
      <c r="R118" s="50"/>
      <c r="S118" s="50"/>
      <c r="T118" s="50"/>
      <c r="U118" s="50"/>
      <c r="V118" s="50"/>
      <c r="W118" s="50"/>
      <c r="X118" s="50"/>
      <c r="Y118" s="50"/>
      <c r="Z118" s="50"/>
    </row>
    <row r="119" spans="1:26" ht="15.75" customHeight="1" x14ac:dyDescent="0.35">
      <c r="A119" s="50"/>
      <c r="B119" s="53"/>
      <c r="C119" s="65"/>
      <c r="D119" s="125"/>
      <c r="E119" s="125"/>
      <c r="F119" s="125"/>
      <c r="G119" s="126"/>
      <c r="H119" s="126"/>
      <c r="I119" s="126"/>
      <c r="J119" s="126"/>
      <c r="K119" s="126"/>
      <c r="L119" s="126"/>
      <c r="M119" s="126"/>
      <c r="N119" s="126"/>
      <c r="O119" s="126"/>
      <c r="P119" s="127"/>
      <c r="Q119" s="50"/>
      <c r="R119" s="50"/>
      <c r="S119" s="50"/>
      <c r="T119" s="50"/>
      <c r="U119" s="50"/>
      <c r="V119" s="50"/>
      <c r="W119" s="50"/>
      <c r="X119" s="50"/>
      <c r="Y119" s="50"/>
      <c r="Z119" s="50"/>
    </row>
    <row r="120" spans="1:26" ht="15.75" customHeight="1" x14ac:dyDescent="0.35">
      <c r="A120" s="50"/>
      <c r="B120" s="62" t="s">
        <v>135</v>
      </c>
      <c r="C120" s="54"/>
      <c r="D120" s="128"/>
      <c r="E120" s="50"/>
      <c r="F120" s="50"/>
      <c r="G120" s="50"/>
      <c r="H120" s="50"/>
      <c r="I120" s="50"/>
      <c r="J120" s="50"/>
      <c r="K120" s="50"/>
      <c r="L120" s="50"/>
      <c r="M120" s="50"/>
      <c r="N120" s="50"/>
      <c r="O120" s="50"/>
      <c r="P120" s="115"/>
      <c r="Q120" s="50"/>
      <c r="R120" s="50"/>
      <c r="S120" s="50"/>
      <c r="T120" s="50"/>
      <c r="U120" s="50"/>
      <c r="V120" s="50"/>
      <c r="W120" s="50"/>
      <c r="X120" s="50"/>
      <c r="Y120" s="50"/>
      <c r="Z120" s="50"/>
    </row>
    <row r="121" spans="1:26" ht="15.75" customHeight="1" x14ac:dyDescent="0.35">
      <c r="A121" s="50"/>
      <c r="B121" s="53" t="s">
        <v>93</v>
      </c>
      <c r="C121" s="54"/>
      <c r="D121" s="126">
        <f t="shared" ref="D121:P121" si="86">IFERROR(D86-D109,"")</f>
        <v>50</v>
      </c>
      <c r="E121" s="126">
        <f t="shared" si="86"/>
        <v>50</v>
      </c>
      <c r="F121" s="126">
        <f t="shared" si="86"/>
        <v>50</v>
      </c>
      <c r="G121" s="126">
        <f t="shared" si="86"/>
        <v>50.5</v>
      </c>
      <c r="H121" s="126">
        <f t="shared" si="86"/>
        <v>51.005000000000003</v>
      </c>
      <c r="I121" s="126">
        <f t="shared" si="86"/>
        <v>51.515050000000002</v>
      </c>
      <c r="J121" s="126">
        <f t="shared" si="86"/>
        <v>52.030200499999999</v>
      </c>
      <c r="K121" s="126">
        <f t="shared" si="86"/>
        <v>52.550502504999997</v>
      </c>
      <c r="L121" s="126">
        <f t="shared" si="86"/>
        <v>53.076007530049999</v>
      </c>
      <c r="M121" s="126">
        <f t="shared" si="86"/>
        <v>53.606767605350498</v>
      </c>
      <c r="N121" s="126">
        <f t="shared" si="86"/>
        <v>54.142835281404004</v>
      </c>
      <c r="O121" s="126">
        <f t="shared" si="86"/>
        <v>54.684263634218041</v>
      </c>
      <c r="P121" s="127">
        <f t="shared" si="86"/>
        <v>55.231106270560225</v>
      </c>
      <c r="Q121" s="50"/>
      <c r="R121" s="50"/>
      <c r="S121" s="50"/>
      <c r="T121" s="50"/>
      <c r="U121" s="50"/>
      <c r="V121" s="50"/>
      <c r="W121" s="50"/>
      <c r="X121" s="50"/>
      <c r="Y121" s="50"/>
      <c r="Z121" s="50"/>
    </row>
    <row r="122" spans="1:26" ht="15.75" customHeight="1" x14ac:dyDescent="0.35">
      <c r="A122" s="50"/>
      <c r="B122" s="53" t="s">
        <v>95</v>
      </c>
      <c r="C122" s="50"/>
      <c r="D122" s="126">
        <f t="shared" ref="D122:P122" si="87">IFERROR(D87-D110,"")</f>
        <v>50</v>
      </c>
      <c r="E122" s="126">
        <f t="shared" si="87"/>
        <v>50</v>
      </c>
      <c r="F122" s="126">
        <f t="shared" si="87"/>
        <v>50</v>
      </c>
      <c r="G122" s="126">
        <f t="shared" si="87"/>
        <v>50.5</v>
      </c>
      <c r="H122" s="126">
        <f t="shared" si="87"/>
        <v>51.005000000000003</v>
      </c>
      <c r="I122" s="126">
        <f t="shared" si="87"/>
        <v>51.515050000000002</v>
      </c>
      <c r="J122" s="126">
        <f t="shared" si="87"/>
        <v>52.030200499999999</v>
      </c>
      <c r="K122" s="126">
        <f t="shared" si="87"/>
        <v>52.550502504999997</v>
      </c>
      <c r="L122" s="126">
        <f t="shared" si="87"/>
        <v>53.076007530049999</v>
      </c>
      <c r="M122" s="126">
        <f t="shared" si="87"/>
        <v>53.606767605350498</v>
      </c>
      <c r="N122" s="126">
        <f t="shared" si="87"/>
        <v>54.142835281404004</v>
      </c>
      <c r="O122" s="126">
        <f t="shared" si="87"/>
        <v>54.684263634218041</v>
      </c>
      <c r="P122" s="127">
        <f t="shared" si="87"/>
        <v>55.231106270560225</v>
      </c>
      <c r="Q122" s="50"/>
      <c r="R122" s="50"/>
      <c r="S122" s="50"/>
      <c r="T122" s="50"/>
      <c r="U122" s="50"/>
      <c r="V122" s="50"/>
      <c r="W122" s="50"/>
      <c r="X122" s="50"/>
      <c r="Y122" s="50"/>
      <c r="Z122" s="50"/>
    </row>
    <row r="123" spans="1:26" ht="15.75" customHeight="1" x14ac:dyDescent="0.35">
      <c r="A123" s="50"/>
      <c r="B123" s="53" t="s">
        <v>96</v>
      </c>
      <c r="C123" s="47"/>
      <c r="D123" s="126">
        <f t="shared" ref="D123:P123" si="88">IFERROR(D88-D111,"")</f>
        <v>50</v>
      </c>
      <c r="E123" s="126">
        <f t="shared" si="88"/>
        <v>50</v>
      </c>
      <c r="F123" s="126">
        <f t="shared" si="88"/>
        <v>50</v>
      </c>
      <c r="G123" s="126">
        <f t="shared" si="88"/>
        <v>50.5</v>
      </c>
      <c r="H123" s="126">
        <f t="shared" si="88"/>
        <v>51.005000000000003</v>
      </c>
      <c r="I123" s="126">
        <f t="shared" si="88"/>
        <v>51.515050000000002</v>
      </c>
      <c r="J123" s="126">
        <f t="shared" si="88"/>
        <v>52.030200499999999</v>
      </c>
      <c r="K123" s="126">
        <f t="shared" si="88"/>
        <v>52.550502504999997</v>
      </c>
      <c r="L123" s="126">
        <f t="shared" si="88"/>
        <v>53.076007530049999</v>
      </c>
      <c r="M123" s="126">
        <f t="shared" si="88"/>
        <v>53.606767605350498</v>
      </c>
      <c r="N123" s="126">
        <f t="shared" si="88"/>
        <v>54.142835281404004</v>
      </c>
      <c r="O123" s="126">
        <f t="shared" si="88"/>
        <v>54.684263634218041</v>
      </c>
      <c r="P123" s="127">
        <f t="shared" si="88"/>
        <v>55.231106270560225</v>
      </c>
      <c r="Q123" s="50"/>
      <c r="R123" s="50"/>
      <c r="S123" s="50"/>
      <c r="T123" s="50"/>
      <c r="U123" s="50"/>
      <c r="V123" s="50"/>
      <c r="W123" s="50"/>
      <c r="X123" s="50"/>
      <c r="Y123" s="50"/>
      <c r="Z123" s="50"/>
    </row>
    <row r="124" spans="1:26" ht="15.75" customHeight="1" x14ac:dyDescent="0.35">
      <c r="A124" s="50"/>
      <c r="B124" s="53" t="s">
        <v>97</v>
      </c>
      <c r="C124" s="47"/>
      <c r="D124" s="126">
        <f t="shared" ref="D124:P124" si="89">IFERROR(D89-D112,"")</f>
        <v>50</v>
      </c>
      <c r="E124" s="126">
        <f t="shared" si="89"/>
        <v>50</v>
      </c>
      <c r="F124" s="126">
        <f t="shared" si="89"/>
        <v>50</v>
      </c>
      <c r="G124" s="126">
        <f t="shared" si="89"/>
        <v>50.5</v>
      </c>
      <c r="H124" s="126">
        <f t="shared" si="89"/>
        <v>51.005000000000003</v>
      </c>
      <c r="I124" s="126">
        <f t="shared" si="89"/>
        <v>51.515050000000002</v>
      </c>
      <c r="J124" s="126">
        <f t="shared" si="89"/>
        <v>52.030200499999999</v>
      </c>
      <c r="K124" s="126">
        <f t="shared" si="89"/>
        <v>52.550502504999997</v>
      </c>
      <c r="L124" s="126">
        <f t="shared" si="89"/>
        <v>53.076007530049999</v>
      </c>
      <c r="M124" s="126">
        <f t="shared" si="89"/>
        <v>53.606767605350498</v>
      </c>
      <c r="N124" s="126">
        <f t="shared" si="89"/>
        <v>54.142835281404004</v>
      </c>
      <c r="O124" s="126">
        <f t="shared" si="89"/>
        <v>54.684263634218041</v>
      </c>
      <c r="P124" s="127">
        <f t="shared" si="89"/>
        <v>55.231106270560225</v>
      </c>
      <c r="Q124" s="50"/>
      <c r="R124" s="50"/>
      <c r="S124" s="50"/>
      <c r="T124" s="50"/>
      <c r="U124" s="50"/>
      <c r="V124" s="50"/>
      <c r="W124" s="50"/>
      <c r="X124" s="50"/>
      <c r="Y124" s="50"/>
      <c r="Z124" s="50"/>
    </row>
    <row r="125" spans="1:26" ht="15.75" customHeight="1" x14ac:dyDescent="0.35">
      <c r="A125" s="50"/>
      <c r="B125" s="53" t="s">
        <v>98</v>
      </c>
      <c r="C125" s="47"/>
      <c r="D125" s="126">
        <f t="shared" ref="D125:P125" si="90">IFERROR(D90-D113,"")</f>
        <v>50</v>
      </c>
      <c r="E125" s="126">
        <f t="shared" si="90"/>
        <v>50</v>
      </c>
      <c r="F125" s="126">
        <f t="shared" si="90"/>
        <v>50</v>
      </c>
      <c r="G125" s="126">
        <f t="shared" si="90"/>
        <v>50.5</v>
      </c>
      <c r="H125" s="126">
        <f t="shared" si="90"/>
        <v>51.005000000000003</v>
      </c>
      <c r="I125" s="126">
        <f t="shared" si="90"/>
        <v>51.515050000000002</v>
      </c>
      <c r="J125" s="126">
        <f t="shared" si="90"/>
        <v>52.030200499999999</v>
      </c>
      <c r="K125" s="126">
        <f t="shared" si="90"/>
        <v>52.550502504999997</v>
      </c>
      <c r="L125" s="126">
        <f t="shared" si="90"/>
        <v>53.076007530049999</v>
      </c>
      <c r="M125" s="126">
        <f t="shared" si="90"/>
        <v>53.606767605350498</v>
      </c>
      <c r="N125" s="126">
        <f t="shared" si="90"/>
        <v>54.142835281404004</v>
      </c>
      <c r="O125" s="126">
        <f t="shared" si="90"/>
        <v>54.684263634218041</v>
      </c>
      <c r="P125" s="127">
        <f t="shared" si="90"/>
        <v>55.231106270560225</v>
      </c>
      <c r="Q125" s="50"/>
      <c r="R125" s="50"/>
      <c r="S125" s="50"/>
      <c r="T125" s="50"/>
      <c r="U125" s="50"/>
      <c r="V125" s="50"/>
      <c r="W125" s="50"/>
      <c r="X125" s="50"/>
      <c r="Y125" s="50"/>
      <c r="Z125" s="50"/>
    </row>
    <row r="126" spans="1:26" ht="15.75" customHeight="1" x14ac:dyDescent="0.35">
      <c r="A126" s="50"/>
      <c r="B126" s="53" t="s">
        <v>99</v>
      </c>
      <c r="C126" s="47"/>
      <c r="D126" s="126">
        <f t="shared" ref="D126:P126" si="91">IFERROR(D91-D114,"")</f>
        <v>50</v>
      </c>
      <c r="E126" s="126">
        <f t="shared" si="91"/>
        <v>50</v>
      </c>
      <c r="F126" s="126">
        <f t="shared" si="91"/>
        <v>50</v>
      </c>
      <c r="G126" s="126">
        <f t="shared" si="91"/>
        <v>50.5</v>
      </c>
      <c r="H126" s="126">
        <f t="shared" si="91"/>
        <v>51.005000000000003</v>
      </c>
      <c r="I126" s="126">
        <f t="shared" si="91"/>
        <v>51.515050000000002</v>
      </c>
      <c r="J126" s="126">
        <f t="shared" si="91"/>
        <v>52.030200499999999</v>
      </c>
      <c r="K126" s="126">
        <f t="shared" si="91"/>
        <v>52.550502504999997</v>
      </c>
      <c r="L126" s="126">
        <f t="shared" si="91"/>
        <v>53.076007530049999</v>
      </c>
      <c r="M126" s="126">
        <f t="shared" si="91"/>
        <v>53.606767605350498</v>
      </c>
      <c r="N126" s="126">
        <f t="shared" si="91"/>
        <v>54.142835281404004</v>
      </c>
      <c r="O126" s="126">
        <f t="shared" si="91"/>
        <v>54.684263634218041</v>
      </c>
      <c r="P126" s="127">
        <f t="shared" si="91"/>
        <v>55.231106270560225</v>
      </c>
      <c r="Q126" s="50"/>
      <c r="R126" s="50"/>
      <c r="S126" s="50"/>
      <c r="T126" s="50"/>
      <c r="U126" s="50"/>
      <c r="V126" s="50"/>
      <c r="W126" s="50"/>
      <c r="X126" s="50"/>
      <c r="Y126" s="50"/>
      <c r="Z126" s="50"/>
    </row>
    <row r="127" spans="1:26" ht="15.75" customHeight="1" x14ac:dyDescent="0.35">
      <c r="A127" s="50"/>
      <c r="B127" s="53" t="s">
        <v>100</v>
      </c>
      <c r="C127" s="47"/>
      <c r="D127" s="126">
        <f t="shared" ref="D127:P127" si="92">IFERROR(D92-D115,"")</f>
        <v>50</v>
      </c>
      <c r="E127" s="126">
        <f t="shared" si="92"/>
        <v>50</v>
      </c>
      <c r="F127" s="126">
        <f t="shared" si="92"/>
        <v>50</v>
      </c>
      <c r="G127" s="126">
        <f t="shared" si="92"/>
        <v>50.5</v>
      </c>
      <c r="H127" s="126">
        <f t="shared" si="92"/>
        <v>51.005000000000003</v>
      </c>
      <c r="I127" s="126">
        <f t="shared" si="92"/>
        <v>51.515050000000002</v>
      </c>
      <c r="J127" s="126">
        <f t="shared" si="92"/>
        <v>52.030200499999999</v>
      </c>
      <c r="K127" s="126">
        <f t="shared" si="92"/>
        <v>52.550502504999997</v>
      </c>
      <c r="L127" s="126">
        <f t="shared" si="92"/>
        <v>53.076007530049999</v>
      </c>
      <c r="M127" s="126">
        <f t="shared" si="92"/>
        <v>53.606767605350498</v>
      </c>
      <c r="N127" s="126">
        <f t="shared" si="92"/>
        <v>54.142835281404004</v>
      </c>
      <c r="O127" s="126">
        <f t="shared" si="92"/>
        <v>54.684263634218041</v>
      </c>
      <c r="P127" s="127">
        <f t="shared" si="92"/>
        <v>55.231106270560225</v>
      </c>
      <c r="Q127" s="50"/>
      <c r="R127" s="50"/>
      <c r="S127" s="50"/>
      <c r="T127" s="50"/>
      <c r="U127" s="50"/>
      <c r="V127" s="50"/>
      <c r="W127" s="50"/>
      <c r="X127" s="50"/>
      <c r="Y127" s="50"/>
      <c r="Z127" s="50"/>
    </row>
    <row r="128" spans="1:26" ht="15.75" customHeight="1" x14ac:dyDescent="0.35">
      <c r="A128" s="50"/>
      <c r="B128" s="53" t="s">
        <v>101</v>
      </c>
      <c r="C128" s="47"/>
      <c r="D128" s="126">
        <f t="shared" ref="D128:P128" si="93">IFERROR(D93-D116,"")</f>
        <v>50</v>
      </c>
      <c r="E128" s="126">
        <f t="shared" si="93"/>
        <v>50</v>
      </c>
      <c r="F128" s="126">
        <f t="shared" si="93"/>
        <v>50</v>
      </c>
      <c r="G128" s="126">
        <f t="shared" si="93"/>
        <v>50.5</v>
      </c>
      <c r="H128" s="126">
        <f t="shared" si="93"/>
        <v>51.005000000000003</v>
      </c>
      <c r="I128" s="126">
        <f t="shared" si="93"/>
        <v>51.515050000000002</v>
      </c>
      <c r="J128" s="126">
        <f t="shared" si="93"/>
        <v>52.030200499999999</v>
      </c>
      <c r="K128" s="126">
        <f t="shared" si="93"/>
        <v>52.550502504999997</v>
      </c>
      <c r="L128" s="126">
        <f t="shared" si="93"/>
        <v>53.076007530049999</v>
      </c>
      <c r="M128" s="126">
        <f t="shared" si="93"/>
        <v>53.606767605350498</v>
      </c>
      <c r="N128" s="126">
        <f t="shared" si="93"/>
        <v>54.142835281404004</v>
      </c>
      <c r="O128" s="126">
        <f t="shared" si="93"/>
        <v>54.684263634218041</v>
      </c>
      <c r="P128" s="127">
        <f t="shared" si="93"/>
        <v>55.231106270560225</v>
      </c>
      <c r="Q128" s="50"/>
      <c r="R128" s="50"/>
      <c r="S128" s="50"/>
      <c r="T128" s="50"/>
      <c r="U128" s="50"/>
      <c r="V128" s="50"/>
      <c r="W128" s="50"/>
      <c r="X128" s="50"/>
      <c r="Y128" s="50"/>
      <c r="Z128" s="50"/>
    </row>
    <row r="129" spans="1:26" ht="15.75" customHeight="1" x14ac:dyDescent="0.35">
      <c r="A129" s="50"/>
      <c r="B129" s="53" t="s">
        <v>102</v>
      </c>
      <c r="C129" s="47"/>
      <c r="D129" s="126">
        <f t="shared" ref="D129:P129" si="94">IFERROR(D94-D117,"")</f>
        <v>50</v>
      </c>
      <c r="E129" s="126">
        <f t="shared" si="94"/>
        <v>50</v>
      </c>
      <c r="F129" s="126">
        <f t="shared" si="94"/>
        <v>50</v>
      </c>
      <c r="G129" s="126">
        <f t="shared" si="94"/>
        <v>50.5</v>
      </c>
      <c r="H129" s="126">
        <f t="shared" si="94"/>
        <v>51.005000000000003</v>
      </c>
      <c r="I129" s="126">
        <f t="shared" si="94"/>
        <v>51.515050000000002</v>
      </c>
      <c r="J129" s="126">
        <f t="shared" si="94"/>
        <v>52.030200499999999</v>
      </c>
      <c r="K129" s="126">
        <f t="shared" si="94"/>
        <v>52.550502504999997</v>
      </c>
      <c r="L129" s="126">
        <f t="shared" si="94"/>
        <v>53.076007530049999</v>
      </c>
      <c r="M129" s="126">
        <f t="shared" si="94"/>
        <v>53.606767605350498</v>
      </c>
      <c r="N129" s="126">
        <f t="shared" si="94"/>
        <v>54.142835281404004</v>
      </c>
      <c r="O129" s="126">
        <f t="shared" si="94"/>
        <v>54.684263634218041</v>
      </c>
      <c r="P129" s="127">
        <f t="shared" si="94"/>
        <v>55.231106270560225</v>
      </c>
      <c r="Q129" s="50"/>
      <c r="R129" s="50"/>
      <c r="S129" s="50"/>
      <c r="T129" s="50"/>
      <c r="U129" s="50"/>
      <c r="V129" s="50"/>
      <c r="W129" s="50"/>
      <c r="X129" s="50"/>
      <c r="Y129" s="50"/>
      <c r="Z129" s="50"/>
    </row>
    <row r="130" spans="1:26" ht="15.75" customHeight="1" x14ac:dyDescent="0.35">
      <c r="A130" s="50"/>
      <c r="B130" s="53" t="s">
        <v>103</v>
      </c>
      <c r="C130" s="47"/>
      <c r="D130" s="126">
        <f t="shared" ref="D130:P130" si="95">IFERROR(D95-D118,"")</f>
        <v>50</v>
      </c>
      <c r="E130" s="126">
        <f t="shared" si="95"/>
        <v>50</v>
      </c>
      <c r="F130" s="126">
        <f t="shared" si="95"/>
        <v>50</v>
      </c>
      <c r="G130" s="126">
        <f t="shared" si="95"/>
        <v>50.5</v>
      </c>
      <c r="H130" s="126">
        <f t="shared" si="95"/>
        <v>51.005000000000003</v>
      </c>
      <c r="I130" s="126">
        <f t="shared" si="95"/>
        <v>51.515050000000002</v>
      </c>
      <c r="J130" s="126">
        <f t="shared" si="95"/>
        <v>52.030200499999999</v>
      </c>
      <c r="K130" s="126">
        <f t="shared" si="95"/>
        <v>52.550502504999997</v>
      </c>
      <c r="L130" s="126">
        <f t="shared" si="95"/>
        <v>53.076007530049999</v>
      </c>
      <c r="M130" s="126">
        <f t="shared" si="95"/>
        <v>53.606767605350498</v>
      </c>
      <c r="N130" s="126">
        <f t="shared" si="95"/>
        <v>54.142835281404004</v>
      </c>
      <c r="O130" s="126">
        <f t="shared" si="95"/>
        <v>54.684263634218041</v>
      </c>
      <c r="P130" s="127">
        <f t="shared" si="95"/>
        <v>55.231106270560225</v>
      </c>
      <c r="Q130" s="50"/>
      <c r="R130" s="50"/>
      <c r="S130" s="50"/>
      <c r="T130" s="50"/>
      <c r="U130" s="50"/>
      <c r="V130" s="50"/>
      <c r="W130" s="50"/>
      <c r="X130" s="50"/>
      <c r="Y130" s="50"/>
      <c r="Z130" s="50"/>
    </row>
    <row r="131" spans="1:26" ht="15.75" customHeight="1" x14ac:dyDescent="0.35">
      <c r="A131" s="50"/>
      <c r="B131" s="46" t="s">
        <v>136</v>
      </c>
      <c r="C131" s="47"/>
      <c r="D131" s="120"/>
      <c r="E131" s="120"/>
      <c r="F131" s="120"/>
      <c r="G131" s="120"/>
      <c r="H131" s="120"/>
      <c r="I131" s="120"/>
      <c r="J131" s="120"/>
      <c r="K131" s="120"/>
      <c r="L131" s="120"/>
      <c r="M131" s="120"/>
      <c r="N131" s="50"/>
      <c r="O131" s="50"/>
      <c r="P131" s="115"/>
      <c r="Q131" s="50"/>
      <c r="R131" s="50"/>
      <c r="S131" s="50"/>
      <c r="T131" s="50"/>
      <c r="U131" s="50"/>
      <c r="V131" s="50"/>
      <c r="W131" s="50"/>
      <c r="X131" s="50"/>
      <c r="Y131" s="50"/>
      <c r="Z131" s="50"/>
    </row>
    <row r="132" spans="1:26" ht="15.75" customHeight="1" x14ac:dyDescent="0.35">
      <c r="A132" s="50"/>
      <c r="B132" s="53" t="s">
        <v>93</v>
      </c>
      <c r="C132" s="47"/>
      <c r="D132" s="64">
        <f>IFERROR(D97*D121,"")+IFERROR((D97*D109*$D$66),"")</f>
        <v>5050</v>
      </c>
      <c r="E132" s="64">
        <f t="shared" ref="E132:P132" si="96">IFERROR(E97*E121,"")++IFERROR(((E97*E109)*$D$66),"")</f>
        <v>5050</v>
      </c>
      <c r="F132" s="64">
        <f t="shared" si="96"/>
        <v>5050</v>
      </c>
      <c r="G132" s="64">
        <f t="shared" si="96"/>
        <v>5355.5249999999996</v>
      </c>
      <c r="H132" s="64">
        <f t="shared" si="96"/>
        <v>5679.5342625000003</v>
      </c>
      <c r="I132" s="64">
        <f t="shared" si="96"/>
        <v>6023.1460853812505</v>
      </c>
      <c r="J132" s="64">
        <f t="shared" si="96"/>
        <v>6387.5464235468162</v>
      </c>
      <c r="K132" s="64">
        <f t="shared" si="96"/>
        <v>6773.9929821713986</v>
      </c>
      <c r="L132" s="64">
        <f t="shared" si="96"/>
        <v>7183.8195575927693</v>
      </c>
      <c r="M132" s="64">
        <f t="shared" si="96"/>
        <v>7618.4406408271325</v>
      </c>
      <c r="N132" s="64">
        <f t="shared" si="96"/>
        <v>8079.3562995971752</v>
      </c>
      <c r="O132" s="64">
        <f t="shared" si="96"/>
        <v>8568.1573557228039</v>
      </c>
      <c r="P132" s="122">
        <f t="shared" si="96"/>
        <v>9086.5308757440325</v>
      </c>
      <c r="Q132" s="50"/>
      <c r="R132" s="50"/>
      <c r="S132" s="50"/>
      <c r="T132" s="50"/>
      <c r="U132" s="50"/>
      <c r="V132" s="50"/>
      <c r="W132" s="50"/>
      <c r="X132" s="50"/>
      <c r="Y132" s="50"/>
      <c r="Z132" s="50"/>
    </row>
    <row r="133" spans="1:26" ht="15.75" customHeight="1" x14ac:dyDescent="0.35">
      <c r="A133" s="50"/>
      <c r="B133" s="53" t="s">
        <v>95</v>
      </c>
      <c r="C133" s="47"/>
      <c r="D133" s="64">
        <f t="shared" ref="D133:P133" si="97">IFERROR(D98*D122,"")++IFERROR(((D98*D110)*$D$66),"")</f>
        <v>5050</v>
      </c>
      <c r="E133" s="64">
        <f t="shared" si="97"/>
        <v>5050</v>
      </c>
      <c r="F133" s="64">
        <f t="shared" si="97"/>
        <v>5050</v>
      </c>
      <c r="G133" s="64">
        <f t="shared" si="97"/>
        <v>5355.5249999999996</v>
      </c>
      <c r="H133" s="64">
        <f t="shared" si="97"/>
        <v>5679.5342625000003</v>
      </c>
      <c r="I133" s="64">
        <f t="shared" si="97"/>
        <v>6023.1460853812505</v>
      </c>
      <c r="J133" s="64">
        <f t="shared" si="97"/>
        <v>6387.5464235468162</v>
      </c>
      <c r="K133" s="64">
        <f t="shared" si="97"/>
        <v>6773.9929821713986</v>
      </c>
      <c r="L133" s="64">
        <f t="shared" si="97"/>
        <v>7183.8195575927693</v>
      </c>
      <c r="M133" s="64">
        <f t="shared" si="97"/>
        <v>7618.4406408271325</v>
      </c>
      <c r="N133" s="64">
        <f t="shared" si="97"/>
        <v>8079.3562995971752</v>
      </c>
      <c r="O133" s="64">
        <f t="shared" si="97"/>
        <v>8568.1573557228039</v>
      </c>
      <c r="P133" s="122">
        <f t="shared" si="97"/>
        <v>9086.5308757440325</v>
      </c>
      <c r="Q133" s="50"/>
      <c r="R133" s="50"/>
      <c r="S133" s="50"/>
      <c r="T133" s="50"/>
      <c r="U133" s="50"/>
      <c r="V133" s="50"/>
      <c r="W133" s="50"/>
      <c r="X133" s="50"/>
      <c r="Y133" s="50"/>
      <c r="Z133" s="50"/>
    </row>
    <row r="134" spans="1:26" ht="15.75" customHeight="1" x14ac:dyDescent="0.35">
      <c r="A134" s="50"/>
      <c r="B134" s="53" t="s">
        <v>96</v>
      </c>
      <c r="C134" s="47"/>
      <c r="D134" s="64">
        <f t="shared" ref="D134:P134" si="98">IFERROR(D99*D123,"")++IFERROR(((D99*D111)*$D$66),"")</f>
        <v>5050</v>
      </c>
      <c r="E134" s="64">
        <f t="shared" si="98"/>
        <v>5050</v>
      </c>
      <c r="F134" s="64">
        <f t="shared" si="98"/>
        <v>5050</v>
      </c>
      <c r="G134" s="64">
        <f t="shared" si="98"/>
        <v>5355.5249999999996</v>
      </c>
      <c r="H134" s="64">
        <f t="shared" si="98"/>
        <v>5679.5342625000003</v>
      </c>
      <c r="I134" s="64">
        <f t="shared" si="98"/>
        <v>6023.1460853812505</v>
      </c>
      <c r="J134" s="64">
        <f t="shared" si="98"/>
        <v>6387.5464235468162</v>
      </c>
      <c r="K134" s="64">
        <f t="shared" si="98"/>
        <v>6773.9929821713986</v>
      </c>
      <c r="L134" s="64">
        <f t="shared" si="98"/>
        <v>7183.8195575927693</v>
      </c>
      <c r="M134" s="64">
        <f t="shared" si="98"/>
        <v>7618.4406408271325</v>
      </c>
      <c r="N134" s="64">
        <f t="shared" si="98"/>
        <v>8079.3562995971752</v>
      </c>
      <c r="O134" s="64">
        <f t="shared" si="98"/>
        <v>8568.1573557228039</v>
      </c>
      <c r="P134" s="122">
        <f t="shared" si="98"/>
        <v>9086.5308757440325</v>
      </c>
      <c r="Q134" s="50"/>
      <c r="R134" s="50"/>
      <c r="S134" s="50"/>
      <c r="T134" s="50"/>
      <c r="U134" s="50"/>
      <c r="V134" s="50"/>
      <c r="W134" s="50"/>
      <c r="X134" s="50"/>
      <c r="Y134" s="50"/>
      <c r="Z134" s="50"/>
    </row>
    <row r="135" spans="1:26" ht="15.75" customHeight="1" x14ac:dyDescent="0.35">
      <c r="A135" s="50"/>
      <c r="B135" s="53" t="s">
        <v>97</v>
      </c>
      <c r="C135" s="47"/>
      <c r="D135" s="64">
        <f t="shared" ref="D135:P135" si="99">IFERROR(D100*D124,"")++IFERROR(((D100*D112)*$D$66),"")</f>
        <v>5050</v>
      </c>
      <c r="E135" s="64">
        <f t="shared" si="99"/>
        <v>5050</v>
      </c>
      <c r="F135" s="64">
        <f t="shared" si="99"/>
        <v>5050</v>
      </c>
      <c r="G135" s="64">
        <f t="shared" si="99"/>
        <v>5355.5249999999996</v>
      </c>
      <c r="H135" s="64">
        <f t="shared" si="99"/>
        <v>5679.5342625000003</v>
      </c>
      <c r="I135" s="64">
        <f t="shared" si="99"/>
        <v>6023.1460853812505</v>
      </c>
      <c r="J135" s="64">
        <f t="shared" si="99"/>
        <v>6387.5464235468162</v>
      </c>
      <c r="K135" s="64">
        <f t="shared" si="99"/>
        <v>6773.9929821713986</v>
      </c>
      <c r="L135" s="64">
        <f t="shared" si="99"/>
        <v>7183.8195575927693</v>
      </c>
      <c r="M135" s="64">
        <f t="shared" si="99"/>
        <v>7618.4406408271325</v>
      </c>
      <c r="N135" s="64">
        <f t="shared" si="99"/>
        <v>8079.3562995971752</v>
      </c>
      <c r="O135" s="64">
        <f t="shared" si="99"/>
        <v>8568.1573557228039</v>
      </c>
      <c r="P135" s="122">
        <f t="shared" si="99"/>
        <v>9086.5308757440325</v>
      </c>
      <c r="Q135" s="50"/>
      <c r="R135" s="50"/>
      <c r="S135" s="50"/>
      <c r="T135" s="50"/>
      <c r="U135" s="50"/>
      <c r="V135" s="50"/>
      <c r="W135" s="50"/>
      <c r="X135" s="50"/>
      <c r="Y135" s="50"/>
      <c r="Z135" s="50"/>
    </row>
    <row r="136" spans="1:26" ht="15.75" customHeight="1" x14ac:dyDescent="0.35">
      <c r="A136" s="50"/>
      <c r="B136" s="53" t="s">
        <v>98</v>
      </c>
      <c r="C136" s="47"/>
      <c r="D136" s="64">
        <f t="shared" ref="D136:P136" si="100">IFERROR(D101*D125,"")++IFERROR(((D101*D113)*$D$66),"")</f>
        <v>5050</v>
      </c>
      <c r="E136" s="64">
        <f t="shared" si="100"/>
        <v>5050</v>
      </c>
      <c r="F136" s="64">
        <f t="shared" si="100"/>
        <v>5050</v>
      </c>
      <c r="G136" s="64">
        <f t="shared" si="100"/>
        <v>5355.5249999999996</v>
      </c>
      <c r="H136" s="64">
        <f t="shared" si="100"/>
        <v>5679.5342625000003</v>
      </c>
      <c r="I136" s="64">
        <f t="shared" si="100"/>
        <v>6023.1460853812505</v>
      </c>
      <c r="J136" s="64">
        <f t="shared" si="100"/>
        <v>6387.5464235468162</v>
      </c>
      <c r="K136" s="64">
        <f t="shared" si="100"/>
        <v>6773.9929821713986</v>
      </c>
      <c r="L136" s="64">
        <f t="shared" si="100"/>
        <v>7183.8195575927693</v>
      </c>
      <c r="M136" s="64">
        <f t="shared" si="100"/>
        <v>7618.4406408271325</v>
      </c>
      <c r="N136" s="64">
        <f t="shared" si="100"/>
        <v>8079.3562995971752</v>
      </c>
      <c r="O136" s="64">
        <f t="shared" si="100"/>
        <v>8568.1573557228039</v>
      </c>
      <c r="P136" s="122">
        <f t="shared" si="100"/>
        <v>9086.5308757440325</v>
      </c>
      <c r="Q136" s="50"/>
      <c r="R136" s="50"/>
      <c r="S136" s="50"/>
      <c r="T136" s="50"/>
      <c r="U136" s="50"/>
      <c r="V136" s="50"/>
      <c r="W136" s="50"/>
      <c r="X136" s="50"/>
      <c r="Y136" s="50"/>
      <c r="Z136" s="50"/>
    </row>
    <row r="137" spans="1:26" ht="15.75" customHeight="1" x14ac:dyDescent="0.35">
      <c r="A137" s="50"/>
      <c r="B137" s="53" t="s">
        <v>99</v>
      </c>
      <c r="C137" s="47"/>
      <c r="D137" s="64">
        <f t="shared" ref="D137:P137" si="101">IFERROR(D102*D126,"")++IFERROR(((D102*D114)*$D$66),"")</f>
        <v>5050</v>
      </c>
      <c r="E137" s="64">
        <f t="shared" si="101"/>
        <v>5050</v>
      </c>
      <c r="F137" s="64">
        <f t="shared" si="101"/>
        <v>5050</v>
      </c>
      <c r="G137" s="64">
        <f t="shared" si="101"/>
        <v>5355.5249999999996</v>
      </c>
      <c r="H137" s="64">
        <f t="shared" si="101"/>
        <v>5679.5342625000003</v>
      </c>
      <c r="I137" s="64">
        <f t="shared" si="101"/>
        <v>6023.1460853812505</v>
      </c>
      <c r="J137" s="64">
        <f t="shared" si="101"/>
        <v>6387.5464235468162</v>
      </c>
      <c r="K137" s="64">
        <f t="shared" si="101"/>
        <v>6773.9929821713986</v>
      </c>
      <c r="L137" s="64">
        <f t="shared" si="101"/>
        <v>7183.8195575927693</v>
      </c>
      <c r="M137" s="64">
        <f t="shared" si="101"/>
        <v>7618.4406408271325</v>
      </c>
      <c r="N137" s="64">
        <f t="shared" si="101"/>
        <v>8079.3562995971752</v>
      </c>
      <c r="O137" s="64">
        <f t="shared" si="101"/>
        <v>8568.1573557228039</v>
      </c>
      <c r="P137" s="122">
        <f t="shared" si="101"/>
        <v>9086.5308757440325</v>
      </c>
      <c r="Q137" s="50"/>
      <c r="R137" s="50"/>
      <c r="S137" s="50"/>
      <c r="T137" s="50"/>
      <c r="U137" s="50"/>
      <c r="V137" s="50"/>
      <c r="W137" s="50"/>
      <c r="X137" s="50"/>
      <c r="Y137" s="50"/>
      <c r="Z137" s="50"/>
    </row>
    <row r="138" spans="1:26" ht="15.75" customHeight="1" x14ac:dyDescent="0.35">
      <c r="A138" s="50"/>
      <c r="B138" s="53" t="s">
        <v>100</v>
      </c>
      <c r="C138" s="47"/>
      <c r="D138" s="64">
        <f t="shared" ref="D138:P138" si="102">IFERROR(D103*D127,"")++IFERROR(((D103*D115)*$D$66),"")</f>
        <v>5050</v>
      </c>
      <c r="E138" s="64">
        <f t="shared" si="102"/>
        <v>5050</v>
      </c>
      <c r="F138" s="64">
        <f t="shared" si="102"/>
        <v>5050</v>
      </c>
      <c r="G138" s="64">
        <f t="shared" si="102"/>
        <v>5355.5249999999996</v>
      </c>
      <c r="H138" s="64">
        <f t="shared" si="102"/>
        <v>5679.5342625000003</v>
      </c>
      <c r="I138" s="64">
        <f t="shared" si="102"/>
        <v>6023.1460853812505</v>
      </c>
      <c r="J138" s="64">
        <f t="shared" si="102"/>
        <v>6387.5464235468162</v>
      </c>
      <c r="K138" s="64">
        <f t="shared" si="102"/>
        <v>6773.9929821713986</v>
      </c>
      <c r="L138" s="64">
        <f t="shared" si="102"/>
        <v>7183.8195575927693</v>
      </c>
      <c r="M138" s="64">
        <f t="shared" si="102"/>
        <v>7618.4406408271325</v>
      </c>
      <c r="N138" s="64">
        <f t="shared" si="102"/>
        <v>8079.3562995971752</v>
      </c>
      <c r="O138" s="64">
        <f t="shared" si="102"/>
        <v>8568.1573557228039</v>
      </c>
      <c r="P138" s="122">
        <f t="shared" si="102"/>
        <v>9086.5308757440325</v>
      </c>
      <c r="Q138" s="50"/>
      <c r="R138" s="50"/>
      <c r="S138" s="50"/>
      <c r="T138" s="50"/>
      <c r="U138" s="50"/>
      <c r="V138" s="50"/>
      <c r="W138" s="50"/>
      <c r="X138" s="50"/>
      <c r="Y138" s="50"/>
      <c r="Z138" s="50"/>
    </row>
    <row r="139" spans="1:26" ht="15.75" customHeight="1" x14ac:dyDescent="0.35">
      <c r="A139" s="50"/>
      <c r="B139" s="53" t="s">
        <v>101</v>
      </c>
      <c r="C139" s="47"/>
      <c r="D139" s="64">
        <f t="shared" ref="D139:P139" si="103">IFERROR(D104*D128,"")++IFERROR(((D104*D116)*$D$66),"")</f>
        <v>5050</v>
      </c>
      <c r="E139" s="64">
        <f t="shared" si="103"/>
        <v>5050</v>
      </c>
      <c r="F139" s="64">
        <f t="shared" si="103"/>
        <v>5050</v>
      </c>
      <c r="G139" s="64">
        <f t="shared" si="103"/>
        <v>5355.5249999999996</v>
      </c>
      <c r="H139" s="64">
        <f t="shared" si="103"/>
        <v>5679.5342625000003</v>
      </c>
      <c r="I139" s="64">
        <f t="shared" si="103"/>
        <v>6023.1460853812505</v>
      </c>
      <c r="J139" s="64">
        <f t="shared" si="103"/>
        <v>6387.5464235468162</v>
      </c>
      <c r="K139" s="64">
        <f t="shared" si="103"/>
        <v>6773.9929821713986</v>
      </c>
      <c r="L139" s="64">
        <f t="shared" si="103"/>
        <v>7183.8195575927693</v>
      </c>
      <c r="M139" s="64">
        <f t="shared" si="103"/>
        <v>7618.4406408271325</v>
      </c>
      <c r="N139" s="64">
        <f t="shared" si="103"/>
        <v>8079.3562995971752</v>
      </c>
      <c r="O139" s="64">
        <f t="shared" si="103"/>
        <v>8568.1573557228039</v>
      </c>
      <c r="P139" s="122">
        <f t="shared" si="103"/>
        <v>9086.5308757440325</v>
      </c>
      <c r="Q139" s="50"/>
      <c r="R139" s="50"/>
      <c r="S139" s="50"/>
      <c r="T139" s="50"/>
      <c r="U139" s="50"/>
      <c r="V139" s="50"/>
      <c r="W139" s="50"/>
      <c r="X139" s="50"/>
      <c r="Y139" s="50"/>
      <c r="Z139" s="50"/>
    </row>
    <row r="140" spans="1:26" ht="15.75" customHeight="1" x14ac:dyDescent="0.35">
      <c r="A140" s="50"/>
      <c r="B140" s="53" t="s">
        <v>102</v>
      </c>
      <c r="C140" s="47"/>
      <c r="D140" s="64">
        <f t="shared" ref="D140:P140" si="104">IFERROR(D105*D129,"")++IFERROR(((D105*D117)*$D$66),"")</f>
        <v>5050</v>
      </c>
      <c r="E140" s="64">
        <f t="shared" si="104"/>
        <v>5050</v>
      </c>
      <c r="F140" s="64">
        <f t="shared" si="104"/>
        <v>5050</v>
      </c>
      <c r="G140" s="64">
        <f t="shared" si="104"/>
        <v>5355.5249999999996</v>
      </c>
      <c r="H140" s="64">
        <f t="shared" si="104"/>
        <v>5679.5342625000003</v>
      </c>
      <c r="I140" s="64">
        <f t="shared" si="104"/>
        <v>6023.1460853812505</v>
      </c>
      <c r="J140" s="64">
        <f t="shared" si="104"/>
        <v>6387.5464235468162</v>
      </c>
      <c r="K140" s="64">
        <f t="shared" si="104"/>
        <v>6773.9929821713986</v>
      </c>
      <c r="L140" s="64">
        <f t="shared" si="104"/>
        <v>7183.8195575927693</v>
      </c>
      <c r="M140" s="64">
        <f t="shared" si="104"/>
        <v>7618.4406408271325</v>
      </c>
      <c r="N140" s="64">
        <f t="shared" si="104"/>
        <v>8079.3562995971752</v>
      </c>
      <c r="O140" s="64">
        <f t="shared" si="104"/>
        <v>8568.1573557228039</v>
      </c>
      <c r="P140" s="122">
        <f t="shared" si="104"/>
        <v>9086.5308757440325</v>
      </c>
      <c r="Q140" s="50"/>
      <c r="R140" s="50"/>
      <c r="S140" s="50"/>
      <c r="T140" s="50"/>
      <c r="U140" s="50"/>
      <c r="V140" s="50"/>
      <c r="W140" s="50"/>
      <c r="X140" s="50"/>
      <c r="Y140" s="50"/>
      <c r="Z140" s="50"/>
    </row>
    <row r="141" spans="1:26" ht="15.75" customHeight="1" x14ac:dyDescent="0.35">
      <c r="A141" s="50"/>
      <c r="B141" s="53" t="s">
        <v>103</v>
      </c>
      <c r="C141" s="47"/>
      <c r="D141" s="64">
        <f t="shared" ref="D141:P141" si="105">IFERROR(D106*D130,"")++IFERROR(((D106*D118)*$D$66),"")</f>
        <v>5050</v>
      </c>
      <c r="E141" s="64">
        <f t="shared" si="105"/>
        <v>5050</v>
      </c>
      <c r="F141" s="64">
        <f t="shared" si="105"/>
        <v>5050</v>
      </c>
      <c r="G141" s="64">
        <f t="shared" si="105"/>
        <v>5355.5249999999996</v>
      </c>
      <c r="H141" s="64">
        <f t="shared" si="105"/>
        <v>5679.5342625000003</v>
      </c>
      <c r="I141" s="64">
        <f t="shared" si="105"/>
        <v>6023.1460853812505</v>
      </c>
      <c r="J141" s="64">
        <f t="shared" si="105"/>
        <v>6387.5464235468162</v>
      </c>
      <c r="K141" s="64">
        <f t="shared" si="105"/>
        <v>6773.9929821713986</v>
      </c>
      <c r="L141" s="64">
        <f t="shared" si="105"/>
        <v>7183.8195575927693</v>
      </c>
      <c r="M141" s="64">
        <f t="shared" si="105"/>
        <v>7618.4406408271325</v>
      </c>
      <c r="N141" s="64">
        <f t="shared" si="105"/>
        <v>8079.3562995971752</v>
      </c>
      <c r="O141" s="64">
        <f t="shared" si="105"/>
        <v>8568.1573557228039</v>
      </c>
      <c r="P141" s="122">
        <f t="shared" si="105"/>
        <v>9086.5308757440325</v>
      </c>
      <c r="Q141" s="50"/>
      <c r="R141" s="50"/>
      <c r="S141" s="50"/>
      <c r="T141" s="50"/>
      <c r="U141" s="50"/>
      <c r="V141" s="50"/>
      <c r="W141" s="50"/>
      <c r="X141" s="50"/>
      <c r="Y141" s="50"/>
      <c r="Z141" s="50"/>
    </row>
    <row r="142" spans="1:26" ht="15.75" customHeight="1" x14ac:dyDescent="0.35">
      <c r="A142" s="32"/>
      <c r="B142" s="58" t="s">
        <v>65</v>
      </c>
      <c r="C142" s="65"/>
      <c r="D142" s="129">
        <f t="shared" ref="D142:P142" si="106">SUM(D132:D141)</f>
        <v>50500</v>
      </c>
      <c r="E142" s="129">
        <f t="shared" si="106"/>
        <v>50500</v>
      </c>
      <c r="F142" s="129">
        <f t="shared" si="106"/>
        <v>50500</v>
      </c>
      <c r="G142" s="129">
        <f t="shared" si="106"/>
        <v>53555.250000000007</v>
      </c>
      <c r="H142" s="129">
        <f t="shared" si="106"/>
        <v>56795.34262499999</v>
      </c>
      <c r="I142" s="129">
        <f t="shared" si="106"/>
        <v>60231.460853812518</v>
      </c>
      <c r="J142" s="129">
        <f t="shared" si="106"/>
        <v>63875.464235468164</v>
      </c>
      <c r="K142" s="129">
        <f t="shared" si="106"/>
        <v>67739.929821713973</v>
      </c>
      <c r="L142" s="129">
        <f t="shared" si="106"/>
        <v>71838.19557592769</v>
      </c>
      <c r="M142" s="129">
        <f t="shared" si="106"/>
        <v>76184.40640827133</v>
      </c>
      <c r="N142" s="129">
        <f t="shared" si="106"/>
        <v>80793.562995971748</v>
      </c>
      <c r="O142" s="129">
        <f t="shared" si="106"/>
        <v>85681.573557228025</v>
      </c>
      <c r="P142" s="130">
        <f t="shared" si="106"/>
        <v>90865.308757440347</v>
      </c>
      <c r="Q142" s="32"/>
      <c r="R142" s="32"/>
      <c r="S142" s="32"/>
      <c r="T142" s="32"/>
      <c r="U142" s="32"/>
      <c r="V142" s="32"/>
      <c r="W142" s="32"/>
      <c r="X142" s="32"/>
      <c r="Y142" s="32"/>
      <c r="Z142" s="32"/>
    </row>
    <row r="143" spans="1:26" ht="15.75" customHeight="1" x14ac:dyDescent="0.35">
      <c r="A143" s="50"/>
      <c r="B143" s="131" t="s">
        <v>137</v>
      </c>
      <c r="C143" s="132" t="s">
        <v>138</v>
      </c>
      <c r="D143" s="133">
        <f t="array" ref="D143">NPV($D$68,D142:P142)</f>
        <v>598489.4941452099</v>
      </c>
      <c r="E143" s="134"/>
      <c r="F143" s="135"/>
      <c r="G143" s="134"/>
      <c r="H143" s="134"/>
      <c r="I143" s="134"/>
      <c r="J143" s="134"/>
      <c r="K143" s="134"/>
      <c r="L143" s="134"/>
      <c r="M143" s="134"/>
      <c r="N143" s="134"/>
      <c r="O143" s="134"/>
      <c r="P143" s="136"/>
      <c r="Q143" s="50"/>
      <c r="R143" s="50"/>
      <c r="S143" s="50"/>
      <c r="T143" s="50"/>
      <c r="U143" s="50"/>
      <c r="V143" s="50"/>
      <c r="W143" s="50"/>
      <c r="X143" s="50"/>
      <c r="Y143" s="50"/>
      <c r="Z143" s="50"/>
    </row>
    <row r="144" spans="1:26" ht="15.75" customHeight="1" x14ac:dyDescent="0.3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137" t="s">
        <v>55</v>
      </c>
      <c r="C145" s="138"/>
      <c r="D145" s="566" t="s">
        <v>129</v>
      </c>
      <c r="E145" s="552"/>
      <c r="F145" s="553"/>
      <c r="G145" s="139" t="s">
        <v>130</v>
      </c>
      <c r="H145" s="138"/>
      <c r="I145" s="138"/>
      <c r="J145" s="138"/>
      <c r="K145" s="138"/>
      <c r="L145" s="138"/>
      <c r="M145" s="138"/>
      <c r="N145" s="138"/>
      <c r="O145" s="138"/>
      <c r="P145" s="140"/>
      <c r="Q145" s="50"/>
      <c r="R145" s="50"/>
      <c r="S145" s="50"/>
      <c r="T145" s="50"/>
      <c r="U145" s="50"/>
      <c r="V145" s="50"/>
      <c r="W145" s="50"/>
      <c r="X145" s="50"/>
      <c r="Y145" s="50"/>
      <c r="Z145" s="50"/>
    </row>
    <row r="146" spans="1:26" ht="15.75" customHeight="1" x14ac:dyDescent="0.35">
      <c r="A146" s="50"/>
      <c r="B146" s="141"/>
      <c r="C146" s="142"/>
      <c r="D146" s="143">
        <f>D72</f>
        <v>1</v>
      </c>
      <c r="E146" s="143">
        <f>+D146+1</f>
        <v>2</v>
      </c>
      <c r="F146" s="143">
        <f t="shared" ref="F146:P146" si="107">E146+1</f>
        <v>3</v>
      </c>
      <c r="G146" s="143">
        <f t="shared" si="107"/>
        <v>4</v>
      </c>
      <c r="H146" s="143">
        <f t="shared" si="107"/>
        <v>5</v>
      </c>
      <c r="I146" s="143">
        <f t="shared" si="107"/>
        <v>6</v>
      </c>
      <c r="J146" s="143">
        <f t="shared" si="107"/>
        <v>7</v>
      </c>
      <c r="K146" s="143">
        <f t="shared" si="107"/>
        <v>8</v>
      </c>
      <c r="L146" s="143">
        <f t="shared" si="107"/>
        <v>9</v>
      </c>
      <c r="M146" s="143">
        <f t="shared" si="107"/>
        <v>10</v>
      </c>
      <c r="N146" s="143">
        <f t="shared" si="107"/>
        <v>11</v>
      </c>
      <c r="O146" s="143">
        <f t="shared" si="107"/>
        <v>12</v>
      </c>
      <c r="P146" s="144">
        <f t="shared" si="107"/>
        <v>13</v>
      </c>
      <c r="Q146" s="50"/>
      <c r="R146" s="50"/>
      <c r="S146" s="50"/>
      <c r="T146" s="50"/>
      <c r="U146" s="50"/>
      <c r="V146" s="50"/>
      <c r="W146" s="50"/>
      <c r="X146" s="50"/>
      <c r="Y146" s="50"/>
      <c r="Z146" s="50"/>
    </row>
    <row r="147" spans="1:26" ht="15.75" customHeight="1" x14ac:dyDescent="0.35">
      <c r="A147" s="50"/>
      <c r="B147" s="46" t="s">
        <v>139</v>
      </c>
      <c r="C147" s="47"/>
      <c r="D147" s="49"/>
      <c r="E147" s="49"/>
      <c r="F147" s="49"/>
      <c r="G147" s="49"/>
      <c r="H147" s="49"/>
      <c r="I147" s="49"/>
      <c r="J147" s="49"/>
      <c r="K147" s="49"/>
      <c r="L147" s="49"/>
      <c r="M147" s="49"/>
      <c r="N147" s="50"/>
      <c r="O147" s="50"/>
      <c r="P147" s="115"/>
      <c r="Q147" s="50"/>
      <c r="R147" s="50"/>
      <c r="S147" s="50"/>
      <c r="T147" s="50"/>
      <c r="U147" s="50"/>
      <c r="V147" s="50"/>
      <c r="W147" s="50"/>
      <c r="X147" s="50"/>
      <c r="Y147" s="50"/>
      <c r="Z147" s="50"/>
    </row>
    <row r="148" spans="1:26" ht="15.75" customHeight="1" x14ac:dyDescent="0.35">
      <c r="A148" s="50"/>
      <c r="B148" s="53" t="s">
        <v>93</v>
      </c>
      <c r="C148" s="47" t="s">
        <v>109</v>
      </c>
      <c r="D148" s="145">
        <f t="shared" ref="D148:P148" si="108">IFERROR(D97/D74,"")</f>
        <v>0.1</v>
      </c>
      <c r="E148" s="145">
        <f t="shared" si="108"/>
        <v>0.1</v>
      </c>
      <c r="F148" s="145">
        <f t="shared" si="108"/>
        <v>0.1</v>
      </c>
      <c r="G148" s="145">
        <f t="shared" si="108"/>
        <v>0.1</v>
      </c>
      <c r="H148" s="145">
        <f t="shared" si="108"/>
        <v>0.1</v>
      </c>
      <c r="I148" s="145">
        <f t="shared" si="108"/>
        <v>0.1</v>
      </c>
      <c r="J148" s="145">
        <f t="shared" si="108"/>
        <v>9.9999999999999992E-2</v>
      </c>
      <c r="K148" s="145">
        <f t="shared" si="108"/>
        <v>9.9999999999999992E-2</v>
      </c>
      <c r="L148" s="145">
        <f t="shared" si="108"/>
        <v>9.9999999999999992E-2</v>
      </c>
      <c r="M148" s="145">
        <f t="shared" si="108"/>
        <v>0.1</v>
      </c>
      <c r="N148" s="145">
        <f t="shared" si="108"/>
        <v>0.1</v>
      </c>
      <c r="O148" s="145">
        <f t="shared" si="108"/>
        <v>0.1</v>
      </c>
      <c r="P148" s="146">
        <f t="shared" si="108"/>
        <v>9.9999999999999992E-2</v>
      </c>
      <c r="Q148" s="50"/>
      <c r="R148" s="50"/>
      <c r="S148" s="50"/>
      <c r="T148" s="50"/>
      <c r="U148" s="50"/>
      <c r="V148" s="50"/>
      <c r="W148" s="50"/>
      <c r="X148" s="50"/>
      <c r="Y148" s="50"/>
      <c r="Z148" s="50"/>
    </row>
    <row r="149" spans="1:26" ht="15.75" customHeight="1" x14ac:dyDescent="0.35">
      <c r="A149" s="50"/>
      <c r="B149" s="53" t="s">
        <v>95</v>
      </c>
      <c r="C149" s="47" t="s">
        <v>109</v>
      </c>
      <c r="D149" s="145">
        <f t="shared" ref="D149:P149" si="109">IFERROR(D98/D75,"")</f>
        <v>0.1</v>
      </c>
      <c r="E149" s="145">
        <f t="shared" si="109"/>
        <v>0.1</v>
      </c>
      <c r="F149" s="145">
        <f t="shared" si="109"/>
        <v>0.1</v>
      </c>
      <c r="G149" s="145">
        <f t="shared" si="109"/>
        <v>0.1</v>
      </c>
      <c r="H149" s="145">
        <f t="shared" si="109"/>
        <v>0.1</v>
      </c>
      <c r="I149" s="145">
        <f t="shared" si="109"/>
        <v>0.1</v>
      </c>
      <c r="J149" s="145">
        <f t="shared" si="109"/>
        <v>9.9999999999999992E-2</v>
      </c>
      <c r="K149" s="145">
        <f t="shared" si="109"/>
        <v>9.9999999999999992E-2</v>
      </c>
      <c r="L149" s="145">
        <f t="shared" si="109"/>
        <v>9.9999999999999992E-2</v>
      </c>
      <c r="M149" s="145">
        <f t="shared" si="109"/>
        <v>0.1</v>
      </c>
      <c r="N149" s="145">
        <f t="shared" si="109"/>
        <v>0.1</v>
      </c>
      <c r="O149" s="145">
        <f t="shared" si="109"/>
        <v>0.1</v>
      </c>
      <c r="P149" s="146">
        <f t="shared" si="109"/>
        <v>9.9999999999999992E-2</v>
      </c>
      <c r="Q149" s="50"/>
      <c r="R149" s="50"/>
      <c r="S149" s="50"/>
      <c r="T149" s="50"/>
      <c r="U149" s="50"/>
      <c r="V149" s="50"/>
      <c r="W149" s="50"/>
      <c r="X149" s="50"/>
      <c r="Y149" s="50"/>
      <c r="Z149" s="50"/>
    </row>
    <row r="150" spans="1:26" ht="15.75" customHeight="1" x14ac:dyDescent="0.35">
      <c r="A150" s="50"/>
      <c r="B150" s="53" t="s">
        <v>96</v>
      </c>
      <c r="C150" s="47" t="s">
        <v>109</v>
      </c>
      <c r="D150" s="145">
        <f t="shared" ref="D150:P150" si="110">IFERROR(D99/D76,"")</f>
        <v>0.1</v>
      </c>
      <c r="E150" s="145">
        <f t="shared" si="110"/>
        <v>0.1</v>
      </c>
      <c r="F150" s="145">
        <f t="shared" si="110"/>
        <v>0.1</v>
      </c>
      <c r="G150" s="145">
        <f t="shared" si="110"/>
        <v>0.1</v>
      </c>
      <c r="H150" s="145">
        <f t="shared" si="110"/>
        <v>0.1</v>
      </c>
      <c r="I150" s="145">
        <f t="shared" si="110"/>
        <v>0.1</v>
      </c>
      <c r="J150" s="145">
        <f t="shared" si="110"/>
        <v>9.9999999999999992E-2</v>
      </c>
      <c r="K150" s="145">
        <f t="shared" si="110"/>
        <v>9.9999999999999992E-2</v>
      </c>
      <c r="L150" s="145">
        <f t="shared" si="110"/>
        <v>9.9999999999999992E-2</v>
      </c>
      <c r="M150" s="145">
        <f t="shared" si="110"/>
        <v>0.1</v>
      </c>
      <c r="N150" s="145">
        <f t="shared" si="110"/>
        <v>0.1</v>
      </c>
      <c r="O150" s="145">
        <f t="shared" si="110"/>
        <v>0.1</v>
      </c>
      <c r="P150" s="146">
        <f t="shared" si="110"/>
        <v>9.9999999999999992E-2</v>
      </c>
      <c r="Q150" s="50"/>
      <c r="R150" s="50"/>
      <c r="S150" s="50"/>
      <c r="T150" s="50"/>
      <c r="U150" s="50"/>
      <c r="V150" s="50"/>
      <c r="W150" s="50"/>
      <c r="X150" s="50"/>
      <c r="Y150" s="50"/>
      <c r="Z150" s="50"/>
    </row>
    <row r="151" spans="1:26" ht="15.75" customHeight="1" x14ac:dyDescent="0.35">
      <c r="A151" s="50"/>
      <c r="B151" s="53" t="s">
        <v>97</v>
      </c>
      <c r="C151" s="47" t="s">
        <v>109</v>
      </c>
      <c r="D151" s="145">
        <f t="shared" ref="D151:P151" si="111">IFERROR(D100/D77,"")</f>
        <v>0.1</v>
      </c>
      <c r="E151" s="145">
        <f t="shared" si="111"/>
        <v>0.1</v>
      </c>
      <c r="F151" s="145">
        <f t="shared" si="111"/>
        <v>0.1</v>
      </c>
      <c r="G151" s="145">
        <f t="shared" si="111"/>
        <v>0.1</v>
      </c>
      <c r="H151" s="145">
        <f t="shared" si="111"/>
        <v>0.1</v>
      </c>
      <c r="I151" s="145">
        <f t="shared" si="111"/>
        <v>0.1</v>
      </c>
      <c r="J151" s="145">
        <f t="shared" si="111"/>
        <v>9.9999999999999992E-2</v>
      </c>
      <c r="K151" s="145">
        <f t="shared" si="111"/>
        <v>9.9999999999999992E-2</v>
      </c>
      <c r="L151" s="145">
        <f t="shared" si="111"/>
        <v>9.9999999999999992E-2</v>
      </c>
      <c r="M151" s="145">
        <f t="shared" si="111"/>
        <v>0.1</v>
      </c>
      <c r="N151" s="145">
        <f t="shared" si="111"/>
        <v>0.1</v>
      </c>
      <c r="O151" s="145">
        <f t="shared" si="111"/>
        <v>0.1</v>
      </c>
      <c r="P151" s="146">
        <f t="shared" si="111"/>
        <v>9.9999999999999992E-2</v>
      </c>
      <c r="Q151" s="50"/>
      <c r="R151" s="50"/>
      <c r="S151" s="50"/>
      <c r="T151" s="50"/>
      <c r="U151" s="50"/>
      <c r="V151" s="50"/>
      <c r="W151" s="50"/>
      <c r="X151" s="50"/>
      <c r="Y151" s="50"/>
      <c r="Z151" s="50"/>
    </row>
    <row r="152" spans="1:26" ht="15.75" customHeight="1" x14ac:dyDescent="0.35">
      <c r="A152" s="50"/>
      <c r="B152" s="53" t="s">
        <v>98</v>
      </c>
      <c r="C152" s="47" t="s">
        <v>109</v>
      </c>
      <c r="D152" s="145">
        <f t="shared" ref="D152:P152" si="112">IFERROR(D101/D78,"")</f>
        <v>0.1</v>
      </c>
      <c r="E152" s="145">
        <f t="shared" si="112"/>
        <v>0.1</v>
      </c>
      <c r="F152" s="145">
        <f t="shared" si="112"/>
        <v>0.1</v>
      </c>
      <c r="G152" s="145">
        <f t="shared" si="112"/>
        <v>0.1</v>
      </c>
      <c r="H152" s="145">
        <f t="shared" si="112"/>
        <v>0.1</v>
      </c>
      <c r="I152" s="145">
        <f t="shared" si="112"/>
        <v>0.1</v>
      </c>
      <c r="J152" s="145">
        <f t="shared" si="112"/>
        <v>9.9999999999999992E-2</v>
      </c>
      <c r="K152" s="145">
        <f t="shared" si="112"/>
        <v>9.9999999999999992E-2</v>
      </c>
      <c r="L152" s="145">
        <f t="shared" si="112"/>
        <v>9.9999999999999992E-2</v>
      </c>
      <c r="M152" s="145">
        <f t="shared" si="112"/>
        <v>0.1</v>
      </c>
      <c r="N152" s="145">
        <f t="shared" si="112"/>
        <v>0.1</v>
      </c>
      <c r="O152" s="145">
        <f t="shared" si="112"/>
        <v>0.1</v>
      </c>
      <c r="P152" s="146">
        <f t="shared" si="112"/>
        <v>9.9999999999999992E-2</v>
      </c>
      <c r="Q152" s="50"/>
      <c r="R152" s="50"/>
      <c r="S152" s="50"/>
      <c r="T152" s="50"/>
      <c r="U152" s="50"/>
      <c r="V152" s="50"/>
      <c r="W152" s="50"/>
      <c r="X152" s="50"/>
      <c r="Y152" s="50"/>
      <c r="Z152" s="50"/>
    </row>
    <row r="153" spans="1:26" ht="15.75" customHeight="1" x14ac:dyDescent="0.35">
      <c r="A153" s="50"/>
      <c r="B153" s="53" t="s">
        <v>99</v>
      </c>
      <c r="C153" s="47" t="s">
        <v>109</v>
      </c>
      <c r="D153" s="145">
        <f t="shared" ref="D153:P153" si="113">IFERROR(D102/D79,"")</f>
        <v>0.1</v>
      </c>
      <c r="E153" s="145">
        <f t="shared" si="113"/>
        <v>0.1</v>
      </c>
      <c r="F153" s="145">
        <f t="shared" si="113"/>
        <v>0.1</v>
      </c>
      <c r="G153" s="145">
        <f t="shared" si="113"/>
        <v>0.1</v>
      </c>
      <c r="H153" s="145">
        <f t="shared" si="113"/>
        <v>0.1</v>
      </c>
      <c r="I153" s="145">
        <f t="shared" si="113"/>
        <v>0.1</v>
      </c>
      <c r="J153" s="145">
        <f t="shared" si="113"/>
        <v>9.9999999999999992E-2</v>
      </c>
      <c r="K153" s="145">
        <f t="shared" si="113"/>
        <v>9.9999999999999992E-2</v>
      </c>
      <c r="L153" s="145">
        <f t="shared" si="113"/>
        <v>9.9999999999999992E-2</v>
      </c>
      <c r="M153" s="145">
        <f t="shared" si="113"/>
        <v>0.1</v>
      </c>
      <c r="N153" s="145">
        <f t="shared" si="113"/>
        <v>0.1</v>
      </c>
      <c r="O153" s="145">
        <f t="shared" si="113"/>
        <v>0.1</v>
      </c>
      <c r="P153" s="146">
        <f t="shared" si="113"/>
        <v>9.9999999999999992E-2</v>
      </c>
      <c r="Q153" s="50"/>
      <c r="R153" s="50"/>
      <c r="S153" s="50"/>
      <c r="T153" s="50"/>
      <c r="U153" s="50"/>
      <c r="V153" s="50"/>
      <c r="W153" s="50"/>
      <c r="X153" s="50"/>
      <c r="Y153" s="50"/>
      <c r="Z153" s="50"/>
    </row>
    <row r="154" spans="1:26" ht="15.75" customHeight="1" x14ac:dyDescent="0.35">
      <c r="A154" s="50"/>
      <c r="B154" s="53" t="s">
        <v>100</v>
      </c>
      <c r="C154" s="47" t="s">
        <v>109</v>
      </c>
      <c r="D154" s="145">
        <f t="shared" ref="D154:P154" si="114">IFERROR(D101/D78,"")</f>
        <v>0.1</v>
      </c>
      <c r="E154" s="145">
        <f t="shared" si="114"/>
        <v>0.1</v>
      </c>
      <c r="F154" s="145">
        <f t="shared" si="114"/>
        <v>0.1</v>
      </c>
      <c r="G154" s="145">
        <f t="shared" si="114"/>
        <v>0.1</v>
      </c>
      <c r="H154" s="145">
        <f t="shared" si="114"/>
        <v>0.1</v>
      </c>
      <c r="I154" s="145">
        <f t="shared" si="114"/>
        <v>0.1</v>
      </c>
      <c r="J154" s="145">
        <f t="shared" si="114"/>
        <v>9.9999999999999992E-2</v>
      </c>
      <c r="K154" s="145">
        <f t="shared" si="114"/>
        <v>9.9999999999999992E-2</v>
      </c>
      <c r="L154" s="145">
        <f t="shared" si="114"/>
        <v>9.9999999999999992E-2</v>
      </c>
      <c r="M154" s="145">
        <f t="shared" si="114"/>
        <v>0.1</v>
      </c>
      <c r="N154" s="145">
        <f t="shared" si="114"/>
        <v>0.1</v>
      </c>
      <c r="O154" s="145">
        <f t="shared" si="114"/>
        <v>0.1</v>
      </c>
      <c r="P154" s="146">
        <f t="shared" si="114"/>
        <v>9.9999999999999992E-2</v>
      </c>
      <c r="Q154" s="50"/>
      <c r="R154" s="50"/>
      <c r="S154" s="50"/>
      <c r="T154" s="50"/>
      <c r="U154" s="50"/>
      <c r="V154" s="50"/>
      <c r="W154" s="50"/>
      <c r="X154" s="50"/>
      <c r="Y154" s="50"/>
      <c r="Z154" s="50"/>
    </row>
    <row r="155" spans="1:26" ht="15.75" customHeight="1" x14ac:dyDescent="0.35">
      <c r="A155" s="50"/>
      <c r="B155" s="53" t="s">
        <v>101</v>
      </c>
      <c r="C155" s="47" t="s">
        <v>109</v>
      </c>
      <c r="D155" s="145">
        <f t="shared" ref="D155:P155" si="115">IFERROR(D102/D79,"")</f>
        <v>0.1</v>
      </c>
      <c r="E155" s="145">
        <f t="shared" si="115"/>
        <v>0.1</v>
      </c>
      <c r="F155" s="145">
        <f t="shared" si="115"/>
        <v>0.1</v>
      </c>
      <c r="G155" s="145">
        <f t="shared" si="115"/>
        <v>0.1</v>
      </c>
      <c r="H155" s="145">
        <f t="shared" si="115"/>
        <v>0.1</v>
      </c>
      <c r="I155" s="145">
        <f t="shared" si="115"/>
        <v>0.1</v>
      </c>
      <c r="J155" s="145">
        <f t="shared" si="115"/>
        <v>9.9999999999999992E-2</v>
      </c>
      <c r="K155" s="145">
        <f t="shared" si="115"/>
        <v>9.9999999999999992E-2</v>
      </c>
      <c r="L155" s="145">
        <f t="shared" si="115"/>
        <v>9.9999999999999992E-2</v>
      </c>
      <c r="M155" s="145">
        <f t="shared" si="115"/>
        <v>0.1</v>
      </c>
      <c r="N155" s="145">
        <f t="shared" si="115"/>
        <v>0.1</v>
      </c>
      <c r="O155" s="145">
        <f t="shared" si="115"/>
        <v>0.1</v>
      </c>
      <c r="P155" s="146">
        <f t="shared" si="115"/>
        <v>9.9999999999999992E-2</v>
      </c>
      <c r="Q155" s="50"/>
      <c r="R155" s="50"/>
      <c r="S155" s="50"/>
      <c r="T155" s="50"/>
      <c r="U155" s="50"/>
      <c r="V155" s="50"/>
      <c r="W155" s="50"/>
      <c r="X155" s="50"/>
      <c r="Y155" s="50"/>
      <c r="Z155" s="50"/>
    </row>
    <row r="156" spans="1:26" ht="15.75" customHeight="1" x14ac:dyDescent="0.35">
      <c r="A156" s="50"/>
      <c r="B156" s="53" t="s">
        <v>102</v>
      </c>
      <c r="C156" s="47" t="s">
        <v>109</v>
      </c>
      <c r="D156" s="145">
        <f t="shared" ref="D156:P156" si="116">IFERROR(D103/D80,"")</f>
        <v>0.1</v>
      </c>
      <c r="E156" s="145">
        <f t="shared" si="116"/>
        <v>0.1</v>
      </c>
      <c r="F156" s="145">
        <f t="shared" si="116"/>
        <v>0.1</v>
      </c>
      <c r="G156" s="145">
        <f t="shared" si="116"/>
        <v>0.1</v>
      </c>
      <c r="H156" s="145">
        <f t="shared" si="116"/>
        <v>0.1</v>
      </c>
      <c r="I156" s="145">
        <f t="shared" si="116"/>
        <v>0.1</v>
      </c>
      <c r="J156" s="145">
        <f t="shared" si="116"/>
        <v>9.9999999999999992E-2</v>
      </c>
      <c r="K156" s="145">
        <f t="shared" si="116"/>
        <v>9.9999999999999992E-2</v>
      </c>
      <c r="L156" s="145">
        <f t="shared" si="116"/>
        <v>9.9999999999999992E-2</v>
      </c>
      <c r="M156" s="145">
        <f t="shared" si="116"/>
        <v>0.1</v>
      </c>
      <c r="N156" s="145">
        <f t="shared" si="116"/>
        <v>0.1</v>
      </c>
      <c r="O156" s="145">
        <f t="shared" si="116"/>
        <v>0.1</v>
      </c>
      <c r="P156" s="146">
        <f t="shared" si="116"/>
        <v>9.9999999999999992E-2</v>
      </c>
      <c r="Q156" s="50"/>
      <c r="R156" s="50"/>
      <c r="S156" s="50"/>
      <c r="T156" s="50"/>
      <c r="U156" s="50"/>
      <c r="V156" s="50"/>
      <c r="W156" s="50"/>
      <c r="X156" s="50"/>
      <c r="Y156" s="50"/>
      <c r="Z156" s="50"/>
    </row>
    <row r="157" spans="1:26" ht="15.75" customHeight="1" x14ac:dyDescent="0.35">
      <c r="A157" s="50"/>
      <c r="B157" s="53" t="s">
        <v>103</v>
      </c>
      <c r="C157" s="47" t="s">
        <v>109</v>
      </c>
      <c r="D157" s="145">
        <f t="shared" ref="D157:P157" si="117">IFERROR(D104/D81,"")</f>
        <v>0.1</v>
      </c>
      <c r="E157" s="145">
        <f t="shared" si="117"/>
        <v>0.1</v>
      </c>
      <c r="F157" s="145">
        <f t="shared" si="117"/>
        <v>0.1</v>
      </c>
      <c r="G157" s="145">
        <f t="shared" si="117"/>
        <v>0.1</v>
      </c>
      <c r="H157" s="145">
        <f t="shared" si="117"/>
        <v>0.1</v>
      </c>
      <c r="I157" s="145">
        <f t="shared" si="117"/>
        <v>0.1</v>
      </c>
      <c r="J157" s="145">
        <f t="shared" si="117"/>
        <v>9.9999999999999992E-2</v>
      </c>
      <c r="K157" s="145">
        <f t="shared" si="117"/>
        <v>9.9999999999999992E-2</v>
      </c>
      <c r="L157" s="145">
        <f t="shared" si="117"/>
        <v>9.9999999999999992E-2</v>
      </c>
      <c r="M157" s="145">
        <f t="shared" si="117"/>
        <v>0.1</v>
      </c>
      <c r="N157" s="145">
        <f t="shared" si="117"/>
        <v>0.1</v>
      </c>
      <c r="O157" s="145">
        <f t="shared" si="117"/>
        <v>0.1</v>
      </c>
      <c r="P157" s="146">
        <f t="shared" si="117"/>
        <v>9.9999999999999992E-2</v>
      </c>
      <c r="Q157" s="50"/>
      <c r="R157" s="50"/>
      <c r="S157" s="50"/>
      <c r="T157" s="50"/>
      <c r="U157" s="50"/>
      <c r="V157" s="50"/>
      <c r="W157" s="50"/>
      <c r="X157" s="50"/>
      <c r="Y157" s="50"/>
      <c r="Z157" s="50"/>
    </row>
    <row r="158" spans="1:26" ht="15.75" customHeight="1" x14ac:dyDescent="0.35">
      <c r="A158" s="50"/>
      <c r="B158" s="147" t="s">
        <v>140</v>
      </c>
      <c r="C158" s="148" t="s">
        <v>109</v>
      </c>
      <c r="D158" s="149">
        <f t="shared" ref="D158:P158" si="118">D107/D84</f>
        <v>0.1</v>
      </c>
      <c r="E158" s="149">
        <f t="shared" si="118"/>
        <v>0.1</v>
      </c>
      <c r="F158" s="149">
        <f t="shared" si="118"/>
        <v>0.1</v>
      </c>
      <c r="G158" s="149">
        <f t="shared" si="118"/>
        <v>0.1</v>
      </c>
      <c r="H158" s="149">
        <f t="shared" si="118"/>
        <v>0.1</v>
      </c>
      <c r="I158" s="149">
        <f t="shared" si="118"/>
        <v>0.10000000000000002</v>
      </c>
      <c r="J158" s="149">
        <f t="shared" si="118"/>
        <v>9.9999999999999992E-2</v>
      </c>
      <c r="K158" s="149">
        <f t="shared" si="118"/>
        <v>0.10000000000000002</v>
      </c>
      <c r="L158" s="149">
        <f t="shared" si="118"/>
        <v>9.9999999999999964E-2</v>
      </c>
      <c r="M158" s="149">
        <f t="shared" si="118"/>
        <v>9.9999999999999992E-2</v>
      </c>
      <c r="N158" s="149">
        <f t="shared" si="118"/>
        <v>9.9999999999999978E-2</v>
      </c>
      <c r="O158" s="149">
        <f t="shared" si="118"/>
        <v>0.10000000000000003</v>
      </c>
      <c r="P158" s="150">
        <f t="shared" si="118"/>
        <v>9.9999999999999964E-2</v>
      </c>
      <c r="Q158" s="50"/>
      <c r="R158" s="50"/>
      <c r="S158" s="50"/>
      <c r="T158" s="50"/>
      <c r="U158" s="50"/>
      <c r="V158" s="50"/>
      <c r="W158" s="50"/>
      <c r="X158" s="50"/>
      <c r="Y158" s="50"/>
      <c r="Z158" s="50"/>
    </row>
    <row r="159" spans="1:26" ht="15.75" customHeight="1" x14ac:dyDescent="0.3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x14ac:dyDescent="0.3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x14ac:dyDescent="0.3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x14ac:dyDescent="0.3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x14ac:dyDescent="0.35">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x14ac:dyDescent="0.35">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x14ac:dyDescent="0.3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x14ac:dyDescent="0.35">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x14ac:dyDescent="0.35">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x14ac:dyDescent="0.35">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x14ac:dyDescent="0.35">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x14ac:dyDescent="0.35">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x14ac:dyDescent="0.35">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x14ac:dyDescent="0.35">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x14ac:dyDescent="0.35">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x14ac:dyDescent="0.35">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x14ac:dyDescent="0.3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x14ac:dyDescent="0.35">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x14ac:dyDescent="0.35">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x14ac:dyDescent="0.35">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x14ac:dyDescent="0.35">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x14ac:dyDescent="0.35">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x14ac:dyDescent="0.35">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x14ac:dyDescent="0.35">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x14ac:dyDescent="0.35">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x14ac:dyDescent="0.35">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x14ac:dyDescent="0.3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x14ac:dyDescent="0.35">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x14ac:dyDescent="0.35">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x14ac:dyDescent="0.35">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x14ac:dyDescent="0.35">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x14ac:dyDescent="0.35">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x14ac:dyDescent="0.35">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x14ac:dyDescent="0.35">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x14ac:dyDescent="0.3"/>
    <row r="304" spans="1:26"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sheetData>
  <mergeCells count="24">
    <mergeCell ref="D71:F71"/>
    <mergeCell ref="D145:F145"/>
    <mergeCell ref="G61:J61"/>
    <mergeCell ref="G62:J62"/>
    <mergeCell ref="G63:J63"/>
    <mergeCell ref="G64:J64"/>
    <mergeCell ref="G65:J65"/>
    <mergeCell ref="G66:J66"/>
    <mergeCell ref="G67:J67"/>
    <mergeCell ref="G37:J37"/>
    <mergeCell ref="G48:J48"/>
    <mergeCell ref="G59:J59"/>
    <mergeCell ref="G60:J60"/>
    <mergeCell ref="G68:J68"/>
    <mergeCell ref="B9:D9"/>
    <mergeCell ref="B10:J10"/>
    <mergeCell ref="D12:F12"/>
    <mergeCell ref="G13:J13"/>
    <mergeCell ref="G25:J25"/>
    <mergeCell ref="B4:J4"/>
    <mergeCell ref="B5:D5"/>
    <mergeCell ref="B6:J6"/>
    <mergeCell ref="B7:D7"/>
    <mergeCell ref="B8:J8"/>
  </mergeCells>
  <dataValidations count="1">
    <dataValidation type="list" allowBlank="1" showErrorMessage="1" sqref="D61" xr:uid="{00000000-0002-0000-0400-000000000000}">
      <formula1>"High,Medium,Low"</formula1>
    </dataValidation>
  </dataValidations>
  <hyperlinks>
    <hyperlink ref="B10" r:id="rId1" xr:uid="{00000000-0004-0000-0400-000000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71.09765625" customWidth="1"/>
    <col min="3" max="3" width="7.09765625" customWidth="1"/>
    <col min="4" max="4" width="16.59765625" customWidth="1"/>
    <col min="5" max="5" width="19.3984375" customWidth="1"/>
    <col min="6" max="6" width="18.09765625" customWidth="1"/>
    <col min="7" max="7" width="19.8984375" customWidth="1"/>
    <col min="8" max="9" width="14.09765625" customWidth="1"/>
    <col min="10" max="10" width="18.5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74</v>
      </c>
      <c r="C2" s="32"/>
      <c r="D2" s="33" t="s">
        <v>141</v>
      </c>
      <c r="E2" s="77"/>
      <c r="F2" s="34" t="s">
        <v>54</v>
      </c>
      <c r="G2" s="32"/>
      <c r="H2" s="32"/>
      <c r="I2" s="32"/>
      <c r="J2" s="32"/>
      <c r="K2" s="32"/>
      <c r="L2" s="50"/>
      <c r="M2" s="50"/>
      <c r="N2" s="50"/>
      <c r="O2" s="50"/>
      <c r="P2" s="50"/>
      <c r="Q2" s="50"/>
      <c r="R2" s="50"/>
      <c r="S2" s="50"/>
      <c r="T2" s="50"/>
      <c r="U2" s="50"/>
      <c r="V2" s="50"/>
      <c r="W2" s="50"/>
      <c r="X2" s="50"/>
      <c r="Y2" s="50"/>
      <c r="Z2" s="50"/>
    </row>
    <row r="3" spans="1:26" ht="15.5" x14ac:dyDescent="0.35">
      <c r="A3" s="50"/>
      <c r="B3" s="31"/>
      <c r="C3" s="32"/>
      <c r="D3" s="79" t="s">
        <v>77</v>
      </c>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3"/>
      <c r="E4" s="151"/>
      <c r="F4" s="151"/>
      <c r="G4" s="152"/>
      <c r="H4" s="152"/>
      <c r="I4" s="152"/>
      <c r="J4" s="153"/>
      <c r="K4" s="32"/>
      <c r="L4" s="50"/>
      <c r="M4" s="50"/>
      <c r="N4" s="50"/>
      <c r="O4" s="50"/>
      <c r="P4" s="50"/>
      <c r="Q4" s="50"/>
      <c r="R4" s="50"/>
      <c r="S4" s="50"/>
      <c r="T4" s="50"/>
      <c r="U4" s="50"/>
      <c r="V4" s="50"/>
      <c r="W4" s="50"/>
      <c r="X4" s="50"/>
      <c r="Y4" s="50"/>
      <c r="Z4" s="50"/>
    </row>
    <row r="5" spans="1:26" ht="15.5" x14ac:dyDescent="0.35">
      <c r="A5" s="50"/>
      <c r="B5" s="556" t="s">
        <v>79</v>
      </c>
      <c r="C5" s="546"/>
      <c r="D5" s="534"/>
      <c r="E5" s="81"/>
      <c r="F5" s="81"/>
      <c r="G5" s="81"/>
      <c r="H5" s="81"/>
      <c r="I5" s="81"/>
      <c r="J5" s="82"/>
      <c r="K5" s="32"/>
      <c r="L5" s="50"/>
      <c r="M5" s="50"/>
      <c r="N5" s="50"/>
      <c r="O5" s="50"/>
      <c r="P5" s="50"/>
      <c r="Q5" s="50"/>
      <c r="R5" s="50"/>
      <c r="S5" s="50"/>
      <c r="T5" s="50"/>
      <c r="U5" s="50"/>
      <c r="V5" s="50"/>
      <c r="W5" s="50"/>
      <c r="X5" s="50"/>
      <c r="Y5" s="50"/>
      <c r="Z5" s="50"/>
    </row>
    <row r="6" spans="1:26" ht="40.5" customHeight="1" x14ac:dyDescent="0.35">
      <c r="A6" s="50"/>
      <c r="B6" s="568" t="s">
        <v>80</v>
      </c>
      <c r="C6" s="560"/>
      <c r="D6" s="560"/>
      <c r="E6" s="560"/>
      <c r="F6" s="560"/>
      <c r="G6" s="560"/>
      <c r="H6" s="560"/>
      <c r="I6" s="560"/>
      <c r="J6" s="561"/>
      <c r="K6" s="32"/>
      <c r="L6" s="50"/>
      <c r="M6" s="50"/>
      <c r="N6" s="50"/>
      <c r="O6" s="50"/>
      <c r="P6" s="50"/>
      <c r="Q6" s="50"/>
      <c r="R6" s="50"/>
      <c r="S6" s="50"/>
      <c r="T6" s="50"/>
      <c r="U6" s="50"/>
      <c r="V6" s="50"/>
      <c r="W6" s="50"/>
      <c r="X6" s="50"/>
      <c r="Y6" s="50"/>
      <c r="Z6" s="50"/>
    </row>
    <row r="7" spans="1:26" ht="21.75" customHeight="1" x14ac:dyDescent="0.35">
      <c r="A7" s="50"/>
      <c r="B7" s="556" t="s">
        <v>81</v>
      </c>
      <c r="C7" s="546"/>
      <c r="D7" s="534"/>
      <c r="E7" s="81"/>
      <c r="F7" s="81"/>
      <c r="G7" s="81"/>
      <c r="H7" s="81"/>
      <c r="I7" s="81"/>
      <c r="J7" s="82"/>
      <c r="K7" s="32"/>
      <c r="L7" s="50"/>
      <c r="M7" s="50"/>
      <c r="N7" s="50"/>
      <c r="O7" s="50"/>
      <c r="P7" s="50"/>
      <c r="Q7" s="50"/>
      <c r="R7" s="50"/>
      <c r="S7" s="50"/>
      <c r="T7" s="50"/>
      <c r="U7" s="50"/>
      <c r="V7" s="50"/>
      <c r="W7" s="50"/>
      <c r="X7" s="50"/>
      <c r="Y7" s="50"/>
      <c r="Z7" s="50"/>
    </row>
    <row r="8" spans="1:26" ht="51.75" customHeight="1" x14ac:dyDescent="0.35">
      <c r="A8" s="50"/>
      <c r="B8" s="568" t="s">
        <v>82</v>
      </c>
      <c r="C8" s="560"/>
      <c r="D8" s="560"/>
      <c r="E8" s="560"/>
      <c r="F8" s="560"/>
      <c r="G8" s="560"/>
      <c r="H8" s="560"/>
      <c r="I8" s="560"/>
      <c r="J8" s="561"/>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562" t="s">
        <v>143</v>
      </c>
      <c r="E10" s="552"/>
      <c r="F10" s="553"/>
      <c r="G10" s="84" t="s">
        <v>87</v>
      </c>
      <c r="H10" s="84"/>
      <c r="I10" s="85"/>
      <c r="J10" s="85"/>
      <c r="K10" s="85"/>
      <c r="L10" s="86"/>
      <c r="M10" s="50"/>
      <c r="N10" s="50"/>
      <c r="O10" s="50"/>
      <c r="P10" s="50"/>
      <c r="Q10" s="50"/>
      <c r="R10" s="50"/>
      <c r="S10" s="50"/>
      <c r="T10" s="50"/>
      <c r="U10" s="50"/>
      <c r="V10" s="50"/>
      <c r="W10" s="50"/>
      <c r="X10" s="50"/>
      <c r="Y10" s="50"/>
      <c r="Z10" s="50"/>
    </row>
    <row r="11" spans="1:26" ht="45.75" customHeight="1" x14ac:dyDescent="0.35">
      <c r="A11" s="50"/>
      <c r="B11" s="87" t="s">
        <v>144</v>
      </c>
      <c r="C11" s="88"/>
      <c r="D11" s="43" t="s">
        <v>89</v>
      </c>
      <c r="E11" s="43" t="s">
        <v>90</v>
      </c>
      <c r="F11" s="43" t="s">
        <v>91</v>
      </c>
      <c r="G11" s="563" t="s">
        <v>92</v>
      </c>
      <c r="H11" s="546"/>
      <c r="I11" s="546"/>
      <c r="J11" s="546"/>
      <c r="K11" s="546"/>
      <c r="L11" s="558"/>
      <c r="M11" s="50"/>
      <c r="N11" s="50"/>
      <c r="O11" s="50"/>
      <c r="P11" s="50"/>
      <c r="Q11" s="50"/>
      <c r="R11" s="50"/>
      <c r="S11" s="50"/>
      <c r="T11" s="50"/>
      <c r="U11" s="50"/>
      <c r="V11" s="50"/>
      <c r="W11" s="50"/>
      <c r="X11" s="50"/>
      <c r="Y11" s="50"/>
      <c r="Z11" s="50"/>
    </row>
    <row r="12" spans="1:26" ht="15.75" customHeight="1" x14ac:dyDescent="0.35">
      <c r="A12" s="50"/>
      <c r="B12" s="89" t="s">
        <v>145</v>
      </c>
      <c r="C12" s="88" t="s">
        <v>94</v>
      </c>
      <c r="D12" s="90">
        <v>1000</v>
      </c>
      <c r="E12" s="90">
        <v>1000</v>
      </c>
      <c r="F12" s="90">
        <v>1000</v>
      </c>
      <c r="G12" s="91"/>
      <c r="H12" s="91"/>
      <c r="I12" s="91"/>
      <c r="J12" s="91"/>
      <c r="K12" s="91"/>
      <c r="L12" s="92"/>
      <c r="M12" s="50"/>
      <c r="N12" s="50"/>
      <c r="O12" s="50"/>
      <c r="P12" s="50"/>
      <c r="Q12" s="50"/>
      <c r="R12" s="50"/>
      <c r="S12" s="50"/>
      <c r="T12" s="50"/>
      <c r="U12" s="50"/>
      <c r="V12" s="50"/>
      <c r="W12" s="50"/>
      <c r="X12" s="50"/>
      <c r="Y12" s="50"/>
      <c r="Z12" s="50"/>
    </row>
    <row r="13" spans="1:26" ht="15.75" customHeight="1" x14ac:dyDescent="0.35">
      <c r="A13" s="50"/>
      <c r="B13" s="89" t="s">
        <v>146</v>
      </c>
      <c r="C13" s="88" t="s">
        <v>94</v>
      </c>
      <c r="D13" s="90">
        <v>1000</v>
      </c>
      <c r="E13" s="90">
        <v>1000</v>
      </c>
      <c r="F13" s="90">
        <v>1000</v>
      </c>
      <c r="G13" s="91"/>
      <c r="H13" s="91"/>
      <c r="I13" s="91"/>
      <c r="J13" s="91"/>
      <c r="K13" s="91"/>
      <c r="L13" s="92"/>
      <c r="M13" s="50"/>
      <c r="N13" s="50"/>
      <c r="O13" s="50"/>
      <c r="P13" s="50"/>
      <c r="Q13" s="50"/>
      <c r="R13" s="50"/>
      <c r="S13" s="50"/>
      <c r="T13" s="50"/>
      <c r="U13" s="50"/>
      <c r="V13" s="50"/>
      <c r="W13" s="50"/>
      <c r="X13" s="50"/>
      <c r="Y13" s="50"/>
      <c r="Z13" s="50"/>
    </row>
    <row r="14" spans="1:26" ht="15.75" customHeight="1" x14ac:dyDescent="0.35">
      <c r="A14" s="50"/>
      <c r="B14" s="89" t="s">
        <v>147</v>
      </c>
      <c r="C14" s="88" t="s">
        <v>94</v>
      </c>
      <c r="D14" s="90">
        <v>1000</v>
      </c>
      <c r="E14" s="90">
        <v>1000</v>
      </c>
      <c r="F14" s="90">
        <v>1000</v>
      </c>
      <c r="G14" s="91"/>
      <c r="H14" s="91"/>
      <c r="I14" s="91"/>
      <c r="J14" s="91"/>
      <c r="K14" s="91"/>
      <c r="L14" s="92"/>
      <c r="M14" s="50"/>
      <c r="N14" s="50"/>
      <c r="O14" s="50"/>
      <c r="P14" s="50"/>
      <c r="Q14" s="50"/>
      <c r="R14" s="50"/>
      <c r="S14" s="50"/>
      <c r="T14" s="50"/>
      <c r="U14" s="50"/>
      <c r="V14" s="50"/>
      <c r="W14" s="50"/>
      <c r="X14" s="50"/>
      <c r="Y14" s="50"/>
      <c r="Z14" s="50"/>
    </row>
    <row r="15" spans="1:26" ht="15.75" customHeight="1" x14ac:dyDescent="0.35">
      <c r="A15" s="50"/>
      <c r="B15" s="89" t="s">
        <v>148</v>
      </c>
      <c r="C15" s="88" t="s">
        <v>94</v>
      </c>
      <c r="D15" s="90">
        <v>1000</v>
      </c>
      <c r="E15" s="90">
        <v>1000</v>
      </c>
      <c r="F15" s="90">
        <v>1000</v>
      </c>
      <c r="G15" s="91"/>
      <c r="H15" s="91"/>
      <c r="I15" s="91"/>
      <c r="J15" s="91"/>
      <c r="K15" s="91"/>
      <c r="L15" s="92"/>
      <c r="M15" s="50"/>
      <c r="N15" s="50"/>
      <c r="O15" s="50"/>
      <c r="P15" s="50"/>
      <c r="Q15" s="50"/>
      <c r="R15" s="50"/>
      <c r="S15" s="50"/>
      <c r="T15" s="50"/>
      <c r="U15" s="50"/>
      <c r="V15" s="50"/>
      <c r="W15" s="50"/>
      <c r="X15" s="50"/>
      <c r="Y15" s="50"/>
      <c r="Z15" s="50"/>
    </row>
    <row r="16" spans="1:26" ht="15.75" customHeight="1" x14ac:dyDescent="0.35">
      <c r="A16" s="50"/>
      <c r="B16" s="89" t="s">
        <v>149</v>
      </c>
      <c r="C16" s="88" t="s">
        <v>94</v>
      </c>
      <c r="D16" s="90">
        <v>1000</v>
      </c>
      <c r="E16" s="90">
        <v>1000</v>
      </c>
      <c r="F16" s="90">
        <v>1000</v>
      </c>
      <c r="G16" s="91"/>
      <c r="H16" s="91"/>
      <c r="I16" s="91"/>
      <c r="J16" s="91"/>
      <c r="K16" s="91"/>
      <c r="L16" s="92"/>
      <c r="M16" s="50"/>
      <c r="N16" s="50"/>
      <c r="O16" s="50"/>
      <c r="P16" s="50"/>
      <c r="Q16" s="50"/>
      <c r="R16" s="50"/>
      <c r="S16" s="50"/>
      <c r="T16" s="50"/>
      <c r="U16" s="50"/>
      <c r="V16" s="50"/>
      <c r="W16" s="50"/>
      <c r="X16" s="50"/>
      <c r="Y16" s="50"/>
      <c r="Z16" s="50"/>
    </row>
    <row r="17" spans="1:26" ht="15.75" customHeight="1" x14ac:dyDescent="0.35">
      <c r="A17" s="50"/>
      <c r="B17" s="89" t="s">
        <v>150</v>
      </c>
      <c r="C17" s="88" t="s">
        <v>94</v>
      </c>
      <c r="D17" s="90">
        <v>1000</v>
      </c>
      <c r="E17" s="90">
        <v>1000</v>
      </c>
      <c r="F17" s="90">
        <v>1000</v>
      </c>
      <c r="G17" s="91"/>
      <c r="H17" s="91"/>
      <c r="I17" s="91"/>
      <c r="J17" s="91"/>
      <c r="K17" s="91"/>
      <c r="L17" s="92"/>
      <c r="M17" s="50"/>
      <c r="N17" s="50"/>
      <c r="O17" s="50"/>
      <c r="P17" s="50"/>
      <c r="Q17" s="50"/>
      <c r="R17" s="50"/>
      <c r="S17" s="50"/>
      <c r="T17" s="50"/>
      <c r="U17" s="50"/>
      <c r="V17" s="50"/>
      <c r="W17" s="50"/>
      <c r="X17" s="50"/>
      <c r="Y17" s="50"/>
      <c r="Z17" s="50"/>
    </row>
    <row r="18" spans="1:26" ht="15.75" customHeight="1" x14ac:dyDescent="0.35">
      <c r="A18" s="50"/>
      <c r="B18" s="89" t="s">
        <v>151</v>
      </c>
      <c r="C18" s="88" t="s">
        <v>94</v>
      </c>
      <c r="D18" s="90">
        <v>1000</v>
      </c>
      <c r="E18" s="90">
        <v>1000</v>
      </c>
      <c r="F18" s="90">
        <v>1000</v>
      </c>
      <c r="G18" s="91"/>
      <c r="H18" s="91"/>
      <c r="I18" s="91"/>
      <c r="J18" s="91"/>
      <c r="K18" s="91"/>
      <c r="L18" s="92"/>
      <c r="M18" s="50"/>
      <c r="N18" s="50"/>
      <c r="O18" s="50"/>
      <c r="P18" s="50"/>
      <c r="Q18" s="50"/>
      <c r="R18" s="50"/>
      <c r="S18" s="50"/>
      <c r="T18" s="50"/>
      <c r="U18" s="50"/>
      <c r="V18" s="50"/>
      <c r="W18" s="50"/>
      <c r="X18" s="50"/>
      <c r="Y18" s="50"/>
      <c r="Z18" s="50"/>
    </row>
    <row r="19" spans="1:26" ht="15.75" customHeight="1" x14ac:dyDescent="0.35">
      <c r="A19" s="50"/>
      <c r="B19" s="89" t="s">
        <v>152</v>
      </c>
      <c r="C19" s="88" t="s">
        <v>94</v>
      </c>
      <c r="D19" s="90">
        <v>1000</v>
      </c>
      <c r="E19" s="90">
        <v>1000</v>
      </c>
      <c r="F19" s="90">
        <v>1000</v>
      </c>
      <c r="G19" s="91"/>
      <c r="H19" s="91"/>
      <c r="I19" s="91"/>
      <c r="J19" s="91"/>
      <c r="K19" s="91"/>
      <c r="L19" s="92"/>
      <c r="M19" s="50"/>
      <c r="N19" s="50"/>
      <c r="O19" s="50"/>
      <c r="P19" s="50"/>
      <c r="Q19" s="50"/>
      <c r="R19" s="50"/>
      <c r="S19" s="50"/>
      <c r="T19" s="50"/>
      <c r="U19" s="50"/>
      <c r="V19" s="50"/>
      <c r="W19" s="50"/>
      <c r="X19" s="50"/>
      <c r="Y19" s="50"/>
      <c r="Z19" s="50"/>
    </row>
    <row r="20" spans="1:26" ht="15.75" customHeight="1" x14ac:dyDescent="0.35">
      <c r="A20" s="50"/>
      <c r="B20" s="89" t="s">
        <v>153</v>
      </c>
      <c r="C20" s="88" t="s">
        <v>94</v>
      </c>
      <c r="D20" s="90">
        <v>1000</v>
      </c>
      <c r="E20" s="90">
        <v>1000</v>
      </c>
      <c r="F20" s="90">
        <v>1000</v>
      </c>
      <c r="G20" s="91"/>
      <c r="H20" s="91"/>
      <c r="I20" s="91"/>
      <c r="J20" s="91"/>
      <c r="K20" s="91"/>
      <c r="L20" s="92"/>
      <c r="M20" s="50"/>
      <c r="N20" s="50"/>
      <c r="O20" s="50"/>
      <c r="P20" s="50"/>
      <c r="Q20" s="50"/>
      <c r="R20" s="50"/>
      <c r="S20" s="50"/>
      <c r="T20" s="50"/>
      <c r="U20" s="50"/>
      <c r="V20" s="50"/>
      <c r="W20" s="50"/>
      <c r="X20" s="50"/>
      <c r="Y20" s="50"/>
      <c r="Z20" s="50"/>
    </row>
    <row r="21" spans="1:26" ht="15.75" customHeight="1" x14ac:dyDescent="0.35">
      <c r="A21" s="50"/>
      <c r="B21" s="89" t="s">
        <v>154</v>
      </c>
      <c r="C21" s="88" t="s">
        <v>94</v>
      </c>
      <c r="D21" s="90">
        <v>1000</v>
      </c>
      <c r="E21" s="90">
        <v>1000</v>
      </c>
      <c r="F21" s="90">
        <v>1000</v>
      </c>
      <c r="G21" s="91"/>
      <c r="H21" s="91"/>
      <c r="I21" s="91"/>
      <c r="J21" s="91"/>
      <c r="K21" s="91"/>
      <c r="L21" s="92"/>
      <c r="M21" s="50"/>
      <c r="N21" s="50"/>
      <c r="O21" s="50"/>
      <c r="P21" s="50"/>
      <c r="Q21" s="50"/>
      <c r="R21" s="50"/>
      <c r="S21" s="50"/>
      <c r="T21" s="50"/>
      <c r="U21" s="50"/>
      <c r="V21" s="50"/>
      <c r="W21" s="50"/>
      <c r="X21" s="50"/>
      <c r="Y21" s="50"/>
      <c r="Z21" s="50"/>
    </row>
    <row r="22" spans="1:26" ht="15.75" customHeight="1" x14ac:dyDescent="0.35">
      <c r="A22" s="50"/>
      <c r="B22" s="89" t="s">
        <v>155</v>
      </c>
      <c r="C22" s="88" t="s">
        <v>94</v>
      </c>
      <c r="D22" s="90">
        <v>1000</v>
      </c>
      <c r="E22" s="90">
        <v>1000</v>
      </c>
      <c r="F22" s="90">
        <v>1000</v>
      </c>
      <c r="G22" s="91"/>
      <c r="H22" s="91"/>
      <c r="I22" s="91"/>
      <c r="J22" s="91"/>
      <c r="K22" s="91"/>
      <c r="L22" s="92"/>
      <c r="M22" s="50"/>
      <c r="N22" s="50"/>
      <c r="O22" s="50"/>
      <c r="P22" s="50"/>
      <c r="Q22" s="50"/>
      <c r="R22" s="50"/>
      <c r="S22" s="50"/>
      <c r="T22" s="50"/>
      <c r="U22" s="50"/>
      <c r="V22" s="50"/>
      <c r="W22" s="50"/>
      <c r="X22" s="50"/>
      <c r="Y22" s="50"/>
      <c r="Z22" s="50"/>
    </row>
    <row r="23" spans="1:26" ht="15.75" customHeight="1" x14ac:dyDescent="0.35">
      <c r="A23" s="50"/>
      <c r="B23" s="89" t="s">
        <v>156</v>
      </c>
      <c r="C23" s="88" t="s">
        <v>94</v>
      </c>
      <c r="D23" s="90">
        <v>1000</v>
      </c>
      <c r="E23" s="90">
        <v>1000</v>
      </c>
      <c r="F23" s="90">
        <v>1000</v>
      </c>
      <c r="G23" s="91"/>
      <c r="H23" s="91"/>
      <c r="I23" s="91"/>
      <c r="J23" s="91"/>
      <c r="K23" s="91"/>
      <c r="L23" s="92"/>
      <c r="M23" s="50"/>
      <c r="N23" s="50"/>
      <c r="O23" s="50"/>
      <c r="P23" s="50"/>
      <c r="Q23" s="50"/>
      <c r="R23" s="50"/>
      <c r="S23" s="50"/>
      <c r="T23" s="50"/>
      <c r="U23" s="50"/>
      <c r="V23" s="50"/>
      <c r="W23" s="50"/>
      <c r="X23" s="50"/>
      <c r="Y23" s="50"/>
      <c r="Z23" s="50"/>
    </row>
    <row r="24" spans="1:26" ht="15.75" customHeight="1" x14ac:dyDescent="0.35">
      <c r="A24" s="50"/>
      <c r="B24" s="154" t="s">
        <v>157</v>
      </c>
      <c r="C24" s="88" t="s">
        <v>94</v>
      </c>
      <c r="D24" s="90">
        <v>1000</v>
      </c>
      <c r="E24" s="90">
        <v>1000</v>
      </c>
      <c r="F24" s="90">
        <v>1000</v>
      </c>
      <c r="G24" s="91"/>
      <c r="H24" s="91"/>
      <c r="I24" s="91"/>
      <c r="J24" s="91"/>
      <c r="K24" s="91"/>
      <c r="L24" s="92"/>
      <c r="M24" s="50"/>
      <c r="N24" s="50"/>
      <c r="O24" s="50"/>
      <c r="P24" s="50"/>
      <c r="Q24" s="50"/>
      <c r="R24" s="50"/>
      <c r="S24" s="50"/>
      <c r="T24" s="50"/>
      <c r="U24" s="50"/>
      <c r="V24" s="50"/>
      <c r="W24" s="50"/>
      <c r="X24" s="50"/>
      <c r="Y24" s="50"/>
      <c r="Z24" s="50"/>
    </row>
    <row r="25" spans="1:26" ht="15.75" customHeight="1" x14ac:dyDescent="0.35">
      <c r="A25" s="50"/>
      <c r="B25" s="89" t="s">
        <v>158</v>
      </c>
      <c r="C25" s="88" t="s">
        <v>94</v>
      </c>
      <c r="D25" s="90">
        <v>1000</v>
      </c>
      <c r="E25" s="90">
        <v>1000</v>
      </c>
      <c r="F25" s="90">
        <v>1000</v>
      </c>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93" t="s">
        <v>65</v>
      </c>
      <c r="C26" s="88" t="s">
        <v>94</v>
      </c>
      <c r="D26" s="94">
        <f t="shared" ref="D26:F26" si="0">SUM(D12:D25)</f>
        <v>14000</v>
      </c>
      <c r="E26" s="94">
        <f t="shared" si="0"/>
        <v>14000</v>
      </c>
      <c r="F26" s="94">
        <f t="shared" si="0"/>
        <v>14000</v>
      </c>
      <c r="G26" s="91"/>
      <c r="H26" s="91"/>
      <c r="I26" s="91"/>
      <c r="J26" s="91"/>
      <c r="K26" s="91"/>
      <c r="L26" s="92"/>
      <c r="M26" s="50"/>
      <c r="N26" s="50"/>
      <c r="O26" s="50"/>
      <c r="P26" s="50"/>
      <c r="Q26" s="50"/>
      <c r="R26" s="50"/>
      <c r="S26" s="50"/>
      <c r="T26" s="50"/>
      <c r="U26" s="50"/>
      <c r="V26" s="50"/>
      <c r="W26" s="50"/>
      <c r="X26" s="50"/>
      <c r="Y26" s="50"/>
      <c r="Z26" s="50"/>
    </row>
    <row r="27" spans="1:26" ht="35.25" customHeight="1" x14ac:dyDescent="0.35">
      <c r="A27" s="50"/>
      <c r="B27" s="87" t="s">
        <v>159</v>
      </c>
      <c r="C27" s="88"/>
      <c r="D27" s="43" t="s">
        <v>89</v>
      </c>
      <c r="E27" s="43" t="s">
        <v>90</v>
      </c>
      <c r="F27" s="43" t="s">
        <v>91</v>
      </c>
      <c r="G27" s="563" t="s">
        <v>92</v>
      </c>
      <c r="H27" s="546"/>
      <c r="I27" s="546"/>
      <c r="J27" s="546"/>
      <c r="K27" s="546"/>
      <c r="L27" s="558"/>
      <c r="M27" s="50"/>
      <c r="N27" s="50"/>
      <c r="O27" s="50"/>
      <c r="P27" s="50"/>
      <c r="Q27" s="50"/>
      <c r="R27" s="50"/>
      <c r="S27" s="50"/>
      <c r="T27" s="50"/>
      <c r="U27" s="50"/>
      <c r="V27" s="50"/>
      <c r="W27" s="50"/>
      <c r="X27" s="50"/>
      <c r="Y27" s="50"/>
      <c r="Z27" s="50"/>
    </row>
    <row r="28" spans="1:26" ht="15.75" customHeight="1" x14ac:dyDescent="0.35">
      <c r="A28" s="50"/>
      <c r="B28" s="89" t="s">
        <v>145</v>
      </c>
      <c r="C28" s="88" t="s">
        <v>94</v>
      </c>
      <c r="D28" s="90">
        <v>100</v>
      </c>
      <c r="E28" s="90">
        <v>100</v>
      </c>
      <c r="F28" s="90">
        <v>100</v>
      </c>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89" t="s">
        <v>146</v>
      </c>
      <c r="C29" s="88" t="s">
        <v>94</v>
      </c>
      <c r="D29" s="90">
        <v>100</v>
      </c>
      <c r="E29" s="90">
        <v>100</v>
      </c>
      <c r="F29" s="90">
        <v>100</v>
      </c>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89" t="s">
        <v>147</v>
      </c>
      <c r="C30" s="88" t="s">
        <v>94</v>
      </c>
      <c r="D30" s="90">
        <v>100</v>
      </c>
      <c r="E30" s="90">
        <v>100</v>
      </c>
      <c r="F30" s="90">
        <v>100</v>
      </c>
      <c r="G30" s="91"/>
      <c r="H30" s="91"/>
      <c r="I30" s="91"/>
      <c r="J30" s="91"/>
      <c r="K30" s="91"/>
      <c r="L30" s="92"/>
      <c r="M30" s="50"/>
      <c r="N30" s="50"/>
      <c r="O30" s="50"/>
      <c r="P30" s="50"/>
      <c r="Q30" s="50"/>
      <c r="R30" s="50"/>
      <c r="S30" s="50"/>
      <c r="T30" s="50"/>
      <c r="U30" s="50"/>
      <c r="V30" s="50"/>
      <c r="W30" s="50"/>
      <c r="X30" s="50"/>
      <c r="Y30" s="50"/>
      <c r="Z30" s="50"/>
    </row>
    <row r="31" spans="1:26" ht="15.75" customHeight="1" x14ac:dyDescent="0.35">
      <c r="A31" s="50"/>
      <c r="B31" s="89" t="s">
        <v>148</v>
      </c>
      <c r="C31" s="88" t="s">
        <v>94</v>
      </c>
      <c r="D31" s="90">
        <v>100</v>
      </c>
      <c r="E31" s="90">
        <v>100</v>
      </c>
      <c r="F31" s="90">
        <v>100</v>
      </c>
      <c r="G31" s="91"/>
      <c r="H31" s="91"/>
      <c r="I31" s="91"/>
      <c r="J31" s="91"/>
      <c r="K31" s="91"/>
      <c r="L31" s="92"/>
      <c r="M31" s="50"/>
      <c r="N31" s="50"/>
      <c r="O31" s="50"/>
      <c r="P31" s="50"/>
      <c r="Q31" s="50"/>
      <c r="R31" s="50"/>
      <c r="S31" s="50"/>
      <c r="T31" s="50"/>
      <c r="U31" s="50"/>
      <c r="V31" s="50"/>
      <c r="W31" s="50"/>
      <c r="X31" s="50"/>
      <c r="Y31" s="50"/>
      <c r="Z31" s="50"/>
    </row>
    <row r="32" spans="1:26" ht="15.75" customHeight="1" x14ac:dyDescent="0.35">
      <c r="A32" s="50"/>
      <c r="B32" s="89" t="s">
        <v>149</v>
      </c>
      <c r="C32" s="88" t="s">
        <v>94</v>
      </c>
      <c r="D32" s="90">
        <v>100</v>
      </c>
      <c r="E32" s="90">
        <v>100</v>
      </c>
      <c r="F32" s="90">
        <v>100</v>
      </c>
      <c r="G32" s="91"/>
      <c r="H32" s="91"/>
      <c r="I32" s="91"/>
      <c r="J32" s="91"/>
      <c r="K32" s="91"/>
      <c r="L32" s="92"/>
      <c r="M32" s="50"/>
      <c r="N32" s="50"/>
      <c r="O32" s="50"/>
      <c r="P32" s="50"/>
      <c r="Q32" s="50"/>
      <c r="R32" s="50"/>
      <c r="S32" s="50"/>
      <c r="T32" s="50"/>
      <c r="U32" s="50"/>
      <c r="V32" s="50"/>
      <c r="W32" s="50"/>
      <c r="X32" s="50"/>
      <c r="Y32" s="50"/>
      <c r="Z32" s="50"/>
    </row>
    <row r="33" spans="1:26" ht="15.75" customHeight="1" x14ac:dyDescent="0.35">
      <c r="A33" s="50"/>
      <c r="B33" s="89" t="s">
        <v>150</v>
      </c>
      <c r="C33" s="88" t="s">
        <v>94</v>
      </c>
      <c r="D33" s="90">
        <v>100</v>
      </c>
      <c r="E33" s="90">
        <v>100</v>
      </c>
      <c r="F33" s="90">
        <v>100</v>
      </c>
      <c r="G33" s="91"/>
      <c r="H33" s="91"/>
      <c r="I33" s="91"/>
      <c r="J33" s="91"/>
      <c r="K33" s="91"/>
      <c r="L33" s="92"/>
      <c r="M33" s="50"/>
      <c r="N33" s="50"/>
      <c r="O33" s="50"/>
      <c r="P33" s="50"/>
      <c r="Q33" s="50"/>
      <c r="R33" s="50"/>
      <c r="S33" s="50"/>
      <c r="T33" s="50"/>
      <c r="U33" s="50"/>
      <c r="V33" s="50"/>
      <c r="W33" s="50"/>
      <c r="X33" s="50"/>
      <c r="Y33" s="50"/>
      <c r="Z33" s="50"/>
    </row>
    <row r="34" spans="1:26" ht="15.75" customHeight="1" x14ac:dyDescent="0.35">
      <c r="A34" s="50"/>
      <c r="B34" s="89" t="s">
        <v>151</v>
      </c>
      <c r="C34" s="88" t="s">
        <v>94</v>
      </c>
      <c r="D34" s="90">
        <v>100</v>
      </c>
      <c r="E34" s="90">
        <v>100</v>
      </c>
      <c r="F34" s="90">
        <v>100</v>
      </c>
      <c r="G34" s="91"/>
      <c r="H34" s="91"/>
      <c r="I34" s="91"/>
      <c r="J34" s="91"/>
      <c r="K34" s="91"/>
      <c r="L34" s="92"/>
      <c r="M34" s="50"/>
      <c r="N34" s="50"/>
      <c r="O34" s="50"/>
      <c r="P34" s="50"/>
      <c r="Q34" s="50"/>
      <c r="R34" s="50"/>
      <c r="S34" s="50"/>
      <c r="T34" s="50"/>
      <c r="U34" s="50"/>
      <c r="V34" s="50"/>
      <c r="W34" s="50"/>
      <c r="X34" s="50"/>
      <c r="Y34" s="50"/>
      <c r="Z34" s="50"/>
    </row>
    <row r="35" spans="1:26" ht="15.75" customHeight="1" x14ac:dyDescent="0.35">
      <c r="A35" s="50"/>
      <c r="B35" s="89" t="s">
        <v>152</v>
      </c>
      <c r="C35" s="88" t="s">
        <v>94</v>
      </c>
      <c r="D35" s="90">
        <v>100</v>
      </c>
      <c r="E35" s="90">
        <v>100</v>
      </c>
      <c r="F35" s="90">
        <v>100</v>
      </c>
      <c r="G35" s="91"/>
      <c r="H35" s="91"/>
      <c r="I35" s="91"/>
      <c r="J35" s="91"/>
      <c r="K35" s="91"/>
      <c r="L35" s="92"/>
      <c r="M35" s="50"/>
      <c r="N35" s="50"/>
      <c r="O35" s="50"/>
      <c r="P35" s="50"/>
      <c r="Q35" s="50"/>
      <c r="R35" s="50"/>
      <c r="S35" s="50"/>
      <c r="T35" s="50"/>
      <c r="U35" s="50"/>
      <c r="V35" s="50"/>
      <c r="W35" s="50"/>
      <c r="X35" s="50"/>
      <c r="Y35" s="50"/>
      <c r="Z35" s="50"/>
    </row>
    <row r="36" spans="1:26" ht="15.75" customHeight="1" x14ac:dyDescent="0.35">
      <c r="A36" s="50"/>
      <c r="B36" s="89" t="s">
        <v>153</v>
      </c>
      <c r="C36" s="88" t="s">
        <v>94</v>
      </c>
      <c r="D36" s="90">
        <v>100</v>
      </c>
      <c r="E36" s="90">
        <v>100</v>
      </c>
      <c r="F36" s="90">
        <v>100</v>
      </c>
      <c r="G36" s="91"/>
      <c r="H36" s="91"/>
      <c r="I36" s="91"/>
      <c r="J36" s="91"/>
      <c r="K36" s="91"/>
      <c r="L36" s="92"/>
      <c r="M36" s="50"/>
      <c r="N36" s="50"/>
      <c r="O36" s="50"/>
      <c r="P36" s="50"/>
      <c r="Q36" s="50"/>
      <c r="R36" s="50"/>
      <c r="S36" s="50"/>
      <c r="T36" s="50"/>
      <c r="U36" s="50"/>
      <c r="V36" s="50"/>
      <c r="W36" s="50"/>
      <c r="X36" s="50"/>
      <c r="Y36" s="50"/>
      <c r="Z36" s="50"/>
    </row>
    <row r="37" spans="1:26" ht="15.75" customHeight="1" x14ac:dyDescent="0.35">
      <c r="A37" s="50"/>
      <c r="B37" s="89" t="s">
        <v>154</v>
      </c>
      <c r="C37" s="88" t="s">
        <v>94</v>
      </c>
      <c r="D37" s="90">
        <v>100</v>
      </c>
      <c r="E37" s="90">
        <v>100</v>
      </c>
      <c r="F37" s="90">
        <v>100</v>
      </c>
      <c r="G37" s="91"/>
      <c r="H37" s="91"/>
      <c r="I37" s="91"/>
      <c r="J37" s="91"/>
      <c r="K37" s="91"/>
      <c r="L37" s="92"/>
      <c r="M37" s="50"/>
      <c r="N37" s="50"/>
      <c r="O37" s="50"/>
      <c r="P37" s="50"/>
      <c r="Q37" s="50"/>
      <c r="R37" s="50"/>
      <c r="S37" s="50"/>
      <c r="T37" s="50"/>
      <c r="U37" s="50"/>
      <c r="V37" s="50"/>
      <c r="W37" s="50"/>
      <c r="X37" s="50"/>
      <c r="Y37" s="50"/>
      <c r="Z37" s="50"/>
    </row>
    <row r="38" spans="1:26" ht="15.75" customHeight="1" x14ac:dyDescent="0.35">
      <c r="A38" s="50"/>
      <c r="B38" s="89" t="s">
        <v>155</v>
      </c>
      <c r="C38" s="88" t="s">
        <v>94</v>
      </c>
      <c r="D38" s="90">
        <v>100</v>
      </c>
      <c r="E38" s="90">
        <v>100</v>
      </c>
      <c r="F38" s="90">
        <v>100</v>
      </c>
      <c r="G38" s="91"/>
      <c r="H38" s="91"/>
      <c r="I38" s="91"/>
      <c r="J38" s="91"/>
      <c r="K38" s="91"/>
      <c r="L38" s="92"/>
      <c r="M38" s="50"/>
      <c r="N38" s="50"/>
      <c r="O38" s="50"/>
      <c r="P38" s="50"/>
      <c r="Q38" s="50"/>
      <c r="R38" s="50"/>
      <c r="S38" s="50"/>
      <c r="T38" s="50"/>
      <c r="U38" s="50"/>
      <c r="V38" s="50"/>
      <c r="W38" s="50"/>
      <c r="X38" s="50"/>
      <c r="Y38" s="50"/>
      <c r="Z38" s="50"/>
    </row>
    <row r="39" spans="1:26" ht="15.75" customHeight="1" x14ac:dyDescent="0.35">
      <c r="A39" s="50"/>
      <c r="B39" s="89" t="s">
        <v>156</v>
      </c>
      <c r="C39" s="88" t="s">
        <v>94</v>
      </c>
      <c r="D39" s="90">
        <v>100</v>
      </c>
      <c r="E39" s="90">
        <v>100</v>
      </c>
      <c r="F39" s="90">
        <v>100</v>
      </c>
      <c r="G39" s="91"/>
      <c r="H39" s="91"/>
      <c r="I39" s="91"/>
      <c r="J39" s="91"/>
      <c r="K39" s="91"/>
      <c r="L39" s="92"/>
      <c r="M39" s="50"/>
      <c r="N39" s="50"/>
      <c r="O39" s="50"/>
      <c r="P39" s="50"/>
      <c r="Q39" s="50"/>
      <c r="R39" s="50"/>
      <c r="S39" s="50"/>
      <c r="T39" s="50"/>
      <c r="U39" s="50"/>
      <c r="V39" s="50"/>
      <c r="W39" s="50"/>
      <c r="X39" s="50"/>
      <c r="Y39" s="50"/>
      <c r="Z39" s="50"/>
    </row>
    <row r="40" spans="1:26" ht="15.75" customHeight="1" x14ac:dyDescent="0.35">
      <c r="A40" s="50"/>
      <c r="B40" s="154" t="s">
        <v>157</v>
      </c>
      <c r="C40" s="88" t="s">
        <v>94</v>
      </c>
      <c r="D40" s="90">
        <v>100</v>
      </c>
      <c r="E40" s="90">
        <v>100</v>
      </c>
      <c r="F40" s="90">
        <v>100</v>
      </c>
      <c r="G40" s="91"/>
      <c r="H40" s="91"/>
      <c r="I40" s="91"/>
      <c r="J40" s="91"/>
      <c r="K40" s="91"/>
      <c r="L40" s="92"/>
      <c r="M40" s="50"/>
      <c r="N40" s="50"/>
      <c r="O40" s="50"/>
      <c r="P40" s="50"/>
      <c r="Q40" s="50"/>
      <c r="R40" s="50"/>
      <c r="S40" s="50"/>
      <c r="T40" s="50"/>
      <c r="U40" s="50"/>
      <c r="V40" s="50"/>
      <c r="W40" s="50"/>
      <c r="X40" s="50"/>
      <c r="Y40" s="50"/>
      <c r="Z40" s="50"/>
    </row>
    <row r="41" spans="1:26" ht="15.75" customHeight="1" x14ac:dyDescent="0.35">
      <c r="A41" s="50"/>
      <c r="B41" s="89" t="s">
        <v>158</v>
      </c>
      <c r="C41" s="88" t="s">
        <v>94</v>
      </c>
      <c r="D41" s="90">
        <v>100</v>
      </c>
      <c r="E41" s="90">
        <v>100</v>
      </c>
      <c r="F41" s="90">
        <v>100</v>
      </c>
      <c r="G41" s="91"/>
      <c r="H41" s="91"/>
      <c r="I41" s="91"/>
      <c r="J41" s="91"/>
      <c r="K41" s="91"/>
      <c r="L41" s="92"/>
      <c r="M41" s="50"/>
      <c r="N41" s="50"/>
      <c r="O41" s="50"/>
      <c r="P41" s="50"/>
      <c r="Q41" s="50"/>
      <c r="R41" s="50"/>
      <c r="S41" s="50"/>
      <c r="T41" s="50"/>
      <c r="U41" s="50"/>
      <c r="V41" s="50"/>
      <c r="W41" s="50"/>
      <c r="X41" s="50"/>
      <c r="Y41" s="50"/>
      <c r="Z41" s="50"/>
    </row>
    <row r="42" spans="1:26" ht="15.75" customHeight="1" x14ac:dyDescent="0.35">
      <c r="A42" s="50"/>
      <c r="B42" s="93" t="s">
        <v>65</v>
      </c>
      <c r="C42" s="88" t="s">
        <v>94</v>
      </c>
      <c r="D42" s="94">
        <f t="shared" ref="D42:F42" si="1">SUM(D28:D41)</f>
        <v>1400</v>
      </c>
      <c r="E42" s="94">
        <f t="shared" si="1"/>
        <v>1400</v>
      </c>
      <c r="F42" s="94">
        <f t="shared" si="1"/>
        <v>1400</v>
      </c>
      <c r="G42" s="91"/>
      <c r="H42" s="91"/>
      <c r="I42" s="91"/>
      <c r="J42" s="91"/>
      <c r="K42" s="91"/>
      <c r="L42" s="92"/>
      <c r="M42" s="50"/>
      <c r="N42" s="50"/>
      <c r="O42" s="50"/>
      <c r="P42" s="50"/>
      <c r="Q42" s="50"/>
      <c r="R42" s="50"/>
      <c r="S42" s="50"/>
      <c r="T42" s="50"/>
      <c r="U42" s="50"/>
      <c r="V42" s="50"/>
      <c r="W42" s="50"/>
      <c r="X42" s="50"/>
      <c r="Y42" s="50"/>
      <c r="Z42" s="50"/>
    </row>
    <row r="43" spans="1:26" ht="33.75" customHeight="1" x14ac:dyDescent="0.35">
      <c r="A43" s="50"/>
      <c r="B43" s="87" t="s">
        <v>160</v>
      </c>
      <c r="C43" s="88"/>
      <c r="D43" s="43" t="s">
        <v>89</v>
      </c>
      <c r="E43" s="43" t="s">
        <v>90</v>
      </c>
      <c r="F43" s="43" t="s">
        <v>91</v>
      </c>
      <c r="G43" s="563" t="s">
        <v>106</v>
      </c>
      <c r="H43" s="546"/>
      <c r="I43" s="546"/>
      <c r="J43" s="546"/>
      <c r="K43" s="546"/>
      <c r="L43" s="558"/>
      <c r="M43" s="50"/>
      <c r="N43" s="50"/>
      <c r="O43" s="50"/>
      <c r="P43" s="50"/>
      <c r="Q43" s="50"/>
      <c r="R43" s="50"/>
      <c r="S43" s="50"/>
      <c r="T43" s="50"/>
      <c r="U43" s="50"/>
      <c r="V43" s="50"/>
      <c r="W43" s="50"/>
      <c r="X43" s="50"/>
      <c r="Y43" s="50"/>
      <c r="Z43" s="50"/>
    </row>
    <row r="44" spans="1:26" ht="15.75" customHeight="1" x14ac:dyDescent="0.35">
      <c r="A44" s="50"/>
      <c r="B44" s="89" t="s">
        <v>145</v>
      </c>
      <c r="C44" s="88"/>
      <c r="D44" s="155">
        <v>100</v>
      </c>
      <c r="E44" s="155">
        <v>100</v>
      </c>
      <c r="F44" s="155">
        <v>100</v>
      </c>
      <c r="G44" s="91"/>
      <c r="H44" s="91"/>
      <c r="I44" s="91"/>
      <c r="J44" s="91"/>
      <c r="K44" s="91"/>
      <c r="L44" s="92"/>
      <c r="M44" s="50"/>
      <c r="N44" s="50"/>
      <c r="O44" s="50"/>
      <c r="P44" s="50"/>
      <c r="Q44" s="50"/>
      <c r="R44" s="50"/>
      <c r="S44" s="50"/>
      <c r="T44" s="50"/>
      <c r="U44" s="50"/>
      <c r="V44" s="50"/>
      <c r="W44" s="50"/>
      <c r="X44" s="50"/>
      <c r="Y44" s="50"/>
      <c r="Z44" s="50"/>
    </row>
    <row r="45" spans="1:26" ht="15.75" customHeight="1" x14ac:dyDescent="0.35">
      <c r="A45" s="50"/>
      <c r="B45" s="89" t="s">
        <v>146</v>
      </c>
      <c r="C45" s="88"/>
      <c r="D45" s="155">
        <v>100</v>
      </c>
      <c r="E45" s="155">
        <v>100</v>
      </c>
      <c r="F45" s="155">
        <v>100</v>
      </c>
      <c r="G45" s="91"/>
      <c r="H45" s="91"/>
      <c r="I45" s="91"/>
      <c r="J45" s="91"/>
      <c r="K45" s="91"/>
      <c r="L45" s="92"/>
      <c r="M45" s="50"/>
      <c r="N45" s="50"/>
      <c r="O45" s="50"/>
      <c r="P45" s="50"/>
      <c r="Q45" s="50"/>
      <c r="R45" s="50"/>
      <c r="S45" s="50"/>
      <c r="T45" s="50"/>
      <c r="U45" s="50"/>
      <c r="V45" s="50"/>
      <c r="W45" s="50"/>
      <c r="X45" s="50"/>
      <c r="Y45" s="50"/>
      <c r="Z45" s="50"/>
    </row>
    <row r="46" spans="1:26" ht="15.75" customHeight="1" x14ac:dyDescent="0.35">
      <c r="A46" s="50"/>
      <c r="B46" s="89" t="s">
        <v>147</v>
      </c>
      <c r="C46" s="88"/>
      <c r="D46" s="155">
        <v>100</v>
      </c>
      <c r="E46" s="155">
        <v>100</v>
      </c>
      <c r="F46" s="155">
        <v>100</v>
      </c>
      <c r="G46" s="91"/>
      <c r="H46" s="91"/>
      <c r="I46" s="91"/>
      <c r="J46" s="91"/>
      <c r="K46" s="91"/>
      <c r="L46" s="92"/>
      <c r="M46" s="50"/>
      <c r="N46" s="50"/>
      <c r="O46" s="50"/>
      <c r="P46" s="50"/>
      <c r="Q46" s="50"/>
      <c r="R46" s="50"/>
      <c r="S46" s="50"/>
      <c r="T46" s="50"/>
      <c r="U46" s="50"/>
      <c r="V46" s="50"/>
      <c r="W46" s="50"/>
      <c r="X46" s="50"/>
      <c r="Y46" s="50"/>
      <c r="Z46" s="50"/>
    </row>
    <row r="47" spans="1:26" ht="15.75" customHeight="1" x14ac:dyDescent="0.35">
      <c r="A47" s="50"/>
      <c r="B47" s="89" t="s">
        <v>148</v>
      </c>
      <c r="C47" s="88"/>
      <c r="D47" s="155">
        <v>100</v>
      </c>
      <c r="E47" s="155">
        <v>100</v>
      </c>
      <c r="F47" s="155">
        <v>100</v>
      </c>
      <c r="G47" s="91"/>
      <c r="H47" s="91"/>
      <c r="I47" s="91"/>
      <c r="J47" s="91"/>
      <c r="K47" s="91"/>
      <c r="L47" s="92"/>
      <c r="M47" s="50"/>
      <c r="N47" s="50"/>
      <c r="O47" s="50"/>
      <c r="P47" s="50"/>
      <c r="Q47" s="50"/>
      <c r="R47" s="50"/>
      <c r="S47" s="50"/>
      <c r="T47" s="50"/>
      <c r="U47" s="50"/>
      <c r="V47" s="50"/>
      <c r="W47" s="50"/>
      <c r="X47" s="50"/>
      <c r="Y47" s="50"/>
      <c r="Z47" s="50"/>
    </row>
    <row r="48" spans="1:26" ht="15.75" customHeight="1" x14ac:dyDescent="0.35">
      <c r="A48" s="50"/>
      <c r="B48" s="89" t="s">
        <v>149</v>
      </c>
      <c r="C48" s="88"/>
      <c r="D48" s="155">
        <v>100</v>
      </c>
      <c r="E48" s="155">
        <v>100</v>
      </c>
      <c r="F48" s="155">
        <v>100</v>
      </c>
      <c r="G48" s="91"/>
      <c r="H48" s="91"/>
      <c r="I48" s="91"/>
      <c r="J48" s="91"/>
      <c r="K48" s="91"/>
      <c r="L48" s="92"/>
      <c r="M48" s="50"/>
      <c r="N48" s="50"/>
      <c r="O48" s="50"/>
      <c r="P48" s="50"/>
      <c r="Q48" s="50"/>
      <c r="R48" s="50"/>
      <c r="S48" s="50"/>
      <c r="T48" s="50"/>
      <c r="U48" s="50"/>
      <c r="V48" s="50"/>
      <c r="W48" s="50"/>
      <c r="X48" s="50"/>
      <c r="Y48" s="50"/>
      <c r="Z48" s="50"/>
    </row>
    <row r="49" spans="1:26" ht="15.75" customHeight="1" x14ac:dyDescent="0.35">
      <c r="A49" s="50"/>
      <c r="B49" s="89" t="s">
        <v>150</v>
      </c>
      <c r="C49" s="88"/>
      <c r="D49" s="155">
        <v>100</v>
      </c>
      <c r="E49" s="155">
        <v>100</v>
      </c>
      <c r="F49" s="155">
        <v>100</v>
      </c>
      <c r="G49" s="91"/>
      <c r="H49" s="91"/>
      <c r="I49" s="91"/>
      <c r="J49" s="91"/>
      <c r="K49" s="91"/>
      <c r="L49" s="92"/>
      <c r="M49" s="50"/>
      <c r="N49" s="50"/>
      <c r="O49" s="50"/>
      <c r="P49" s="50"/>
      <c r="Q49" s="50"/>
      <c r="R49" s="50"/>
      <c r="S49" s="50"/>
      <c r="T49" s="50"/>
      <c r="U49" s="50"/>
      <c r="V49" s="50"/>
      <c r="W49" s="50"/>
      <c r="X49" s="50"/>
      <c r="Y49" s="50"/>
      <c r="Z49" s="50"/>
    </row>
    <row r="50" spans="1:26" ht="15.75" customHeight="1" x14ac:dyDescent="0.35">
      <c r="A50" s="50"/>
      <c r="B50" s="89" t="s">
        <v>151</v>
      </c>
      <c r="C50" s="88"/>
      <c r="D50" s="155">
        <v>100</v>
      </c>
      <c r="E50" s="155">
        <v>100</v>
      </c>
      <c r="F50" s="155">
        <v>100</v>
      </c>
      <c r="G50" s="91"/>
      <c r="H50" s="91"/>
      <c r="I50" s="91"/>
      <c r="J50" s="91"/>
      <c r="K50" s="91"/>
      <c r="L50" s="92"/>
      <c r="M50" s="50"/>
      <c r="N50" s="50"/>
      <c r="O50" s="50"/>
      <c r="P50" s="50"/>
      <c r="Q50" s="50"/>
      <c r="R50" s="50"/>
      <c r="S50" s="50"/>
      <c r="T50" s="50"/>
      <c r="U50" s="50"/>
      <c r="V50" s="50"/>
      <c r="W50" s="50"/>
      <c r="X50" s="50"/>
      <c r="Y50" s="50"/>
      <c r="Z50" s="50"/>
    </row>
    <row r="51" spans="1:26" ht="15.75" customHeight="1" x14ac:dyDescent="0.35">
      <c r="A51" s="50"/>
      <c r="B51" s="89" t="s">
        <v>152</v>
      </c>
      <c r="C51" s="88"/>
      <c r="D51" s="155">
        <v>100</v>
      </c>
      <c r="E51" s="155">
        <v>100</v>
      </c>
      <c r="F51" s="155">
        <v>100</v>
      </c>
      <c r="G51" s="91"/>
      <c r="H51" s="91"/>
      <c r="I51" s="91"/>
      <c r="J51" s="91"/>
      <c r="K51" s="91"/>
      <c r="L51" s="92"/>
      <c r="M51" s="50"/>
      <c r="N51" s="50"/>
      <c r="O51" s="50"/>
      <c r="P51" s="50"/>
      <c r="Q51" s="50"/>
      <c r="R51" s="50"/>
      <c r="S51" s="50"/>
      <c r="T51" s="50"/>
      <c r="U51" s="50"/>
      <c r="V51" s="50"/>
      <c r="W51" s="50"/>
      <c r="X51" s="50"/>
      <c r="Y51" s="50"/>
      <c r="Z51" s="50"/>
    </row>
    <row r="52" spans="1:26" ht="15.75" customHeight="1" x14ac:dyDescent="0.35">
      <c r="A52" s="50"/>
      <c r="B52" s="89" t="s">
        <v>153</v>
      </c>
      <c r="C52" s="88"/>
      <c r="D52" s="155">
        <v>100</v>
      </c>
      <c r="E52" s="155">
        <v>100</v>
      </c>
      <c r="F52" s="155">
        <v>100</v>
      </c>
      <c r="G52" s="91"/>
      <c r="H52" s="91"/>
      <c r="I52" s="91"/>
      <c r="J52" s="91"/>
      <c r="K52" s="91"/>
      <c r="L52" s="92"/>
      <c r="M52" s="50"/>
      <c r="N52" s="50"/>
      <c r="O52" s="50"/>
      <c r="P52" s="50"/>
      <c r="Q52" s="50"/>
      <c r="R52" s="50"/>
      <c r="S52" s="50"/>
      <c r="T52" s="50"/>
      <c r="U52" s="50"/>
      <c r="V52" s="50"/>
      <c r="W52" s="50"/>
      <c r="X52" s="50"/>
      <c r="Y52" s="50"/>
      <c r="Z52" s="50"/>
    </row>
    <row r="53" spans="1:26" ht="15.75" customHeight="1" x14ac:dyDescent="0.35">
      <c r="A53" s="50"/>
      <c r="B53" s="89" t="s">
        <v>154</v>
      </c>
      <c r="C53" s="88"/>
      <c r="D53" s="155">
        <v>100</v>
      </c>
      <c r="E53" s="155">
        <v>100</v>
      </c>
      <c r="F53" s="155">
        <v>100</v>
      </c>
      <c r="G53" s="91"/>
      <c r="H53" s="91"/>
      <c r="I53" s="91"/>
      <c r="J53" s="91"/>
      <c r="K53" s="91"/>
      <c r="L53" s="92"/>
      <c r="M53" s="50"/>
      <c r="N53" s="50"/>
      <c r="O53" s="50"/>
      <c r="P53" s="50"/>
      <c r="Q53" s="50"/>
      <c r="R53" s="50"/>
      <c r="S53" s="50"/>
      <c r="T53" s="50"/>
      <c r="U53" s="50"/>
      <c r="V53" s="50"/>
      <c r="W53" s="50"/>
      <c r="X53" s="50"/>
      <c r="Y53" s="50"/>
      <c r="Z53" s="50"/>
    </row>
    <row r="54" spans="1:26" ht="15.75" customHeight="1" x14ac:dyDescent="0.35">
      <c r="A54" s="50"/>
      <c r="B54" s="89" t="s">
        <v>155</v>
      </c>
      <c r="C54" s="88"/>
      <c r="D54" s="155">
        <v>100</v>
      </c>
      <c r="E54" s="155">
        <v>100</v>
      </c>
      <c r="F54" s="155">
        <v>100</v>
      </c>
      <c r="G54" s="91"/>
      <c r="H54" s="91"/>
      <c r="I54" s="91"/>
      <c r="J54" s="91"/>
      <c r="K54" s="91"/>
      <c r="L54" s="92"/>
      <c r="M54" s="50"/>
      <c r="N54" s="50"/>
      <c r="O54" s="50"/>
      <c r="P54" s="50"/>
      <c r="Q54" s="50"/>
      <c r="R54" s="50"/>
      <c r="S54" s="50"/>
      <c r="T54" s="50"/>
      <c r="U54" s="50"/>
      <c r="V54" s="50"/>
      <c r="W54" s="50"/>
      <c r="X54" s="50"/>
      <c r="Y54" s="50"/>
      <c r="Z54" s="50"/>
    </row>
    <row r="55" spans="1:26" ht="15.75" customHeight="1" x14ac:dyDescent="0.35">
      <c r="A55" s="50"/>
      <c r="B55" s="89" t="s">
        <v>156</v>
      </c>
      <c r="C55" s="88"/>
      <c r="D55" s="155">
        <v>100</v>
      </c>
      <c r="E55" s="155">
        <v>100</v>
      </c>
      <c r="F55" s="155">
        <v>100</v>
      </c>
      <c r="G55" s="91"/>
      <c r="H55" s="91"/>
      <c r="I55" s="91"/>
      <c r="J55" s="91"/>
      <c r="K55" s="91"/>
      <c r="L55" s="92"/>
      <c r="M55" s="50"/>
      <c r="N55" s="50"/>
      <c r="O55" s="50"/>
      <c r="P55" s="50"/>
      <c r="Q55" s="50"/>
      <c r="R55" s="50"/>
      <c r="S55" s="50"/>
      <c r="T55" s="50"/>
      <c r="U55" s="50"/>
      <c r="V55" s="50"/>
      <c r="W55" s="50"/>
      <c r="X55" s="50"/>
      <c r="Y55" s="50"/>
      <c r="Z55" s="50"/>
    </row>
    <row r="56" spans="1:26" ht="15.75" customHeight="1" x14ac:dyDescent="0.35">
      <c r="A56" s="50"/>
      <c r="B56" s="154" t="s">
        <v>157</v>
      </c>
      <c r="C56" s="88"/>
      <c r="D56" s="155">
        <v>100</v>
      </c>
      <c r="E56" s="155">
        <v>100</v>
      </c>
      <c r="F56" s="155">
        <v>100</v>
      </c>
      <c r="G56" s="91"/>
      <c r="H56" s="91"/>
      <c r="I56" s="91"/>
      <c r="J56" s="91"/>
      <c r="K56" s="91"/>
      <c r="L56" s="92"/>
      <c r="M56" s="50"/>
      <c r="N56" s="50"/>
      <c r="O56" s="50"/>
      <c r="P56" s="50"/>
      <c r="Q56" s="50"/>
      <c r="R56" s="50"/>
      <c r="S56" s="50"/>
      <c r="T56" s="50"/>
      <c r="U56" s="50"/>
      <c r="V56" s="50"/>
      <c r="W56" s="50"/>
      <c r="X56" s="50"/>
      <c r="Y56" s="50"/>
      <c r="Z56" s="50"/>
    </row>
    <row r="57" spans="1:26" ht="15.75" customHeight="1" x14ac:dyDescent="0.35">
      <c r="A57" s="50"/>
      <c r="B57" s="89" t="s">
        <v>158</v>
      </c>
      <c r="C57" s="88"/>
      <c r="D57" s="155">
        <v>100</v>
      </c>
      <c r="E57" s="155">
        <v>100</v>
      </c>
      <c r="F57" s="155">
        <v>100</v>
      </c>
      <c r="G57" s="91"/>
      <c r="H57" s="91"/>
      <c r="I57" s="91"/>
      <c r="J57" s="91"/>
      <c r="K57" s="91"/>
      <c r="L57" s="92"/>
      <c r="M57" s="50"/>
      <c r="N57" s="50"/>
      <c r="O57" s="50"/>
      <c r="P57" s="50"/>
      <c r="Q57" s="50"/>
      <c r="R57" s="50"/>
      <c r="S57" s="50"/>
      <c r="T57" s="50"/>
      <c r="U57" s="50"/>
      <c r="V57" s="50"/>
      <c r="W57" s="50"/>
      <c r="X57" s="50"/>
      <c r="Y57" s="50"/>
      <c r="Z57" s="50"/>
    </row>
    <row r="58" spans="1:26" ht="15.75" customHeight="1" x14ac:dyDescent="0.35">
      <c r="A58" s="50"/>
      <c r="B58" s="93"/>
      <c r="C58" s="88"/>
      <c r="D58" s="94"/>
      <c r="E58" s="94"/>
      <c r="F58" s="94"/>
      <c r="G58" s="91"/>
      <c r="H58" s="91"/>
      <c r="I58" s="91"/>
      <c r="J58" s="91"/>
      <c r="K58" s="91"/>
      <c r="L58" s="92"/>
      <c r="M58" s="50"/>
      <c r="N58" s="50"/>
      <c r="O58" s="50"/>
      <c r="P58" s="50"/>
      <c r="Q58" s="50"/>
      <c r="R58" s="50"/>
      <c r="S58" s="50"/>
      <c r="T58" s="50"/>
      <c r="U58" s="50"/>
      <c r="V58" s="50"/>
      <c r="W58" s="50"/>
      <c r="X58" s="50"/>
      <c r="Y58" s="50"/>
      <c r="Z58" s="50"/>
    </row>
    <row r="59" spans="1:26" ht="36.75" customHeight="1" x14ac:dyDescent="0.35">
      <c r="A59" s="50"/>
      <c r="B59" s="87" t="s">
        <v>161</v>
      </c>
      <c r="C59" s="88"/>
      <c r="D59" s="43" t="s">
        <v>89</v>
      </c>
      <c r="E59" s="43" t="s">
        <v>90</v>
      </c>
      <c r="F59" s="43" t="s">
        <v>91</v>
      </c>
      <c r="G59" s="563" t="s">
        <v>106</v>
      </c>
      <c r="H59" s="546"/>
      <c r="I59" s="546"/>
      <c r="J59" s="546"/>
      <c r="K59" s="546"/>
      <c r="L59" s="558"/>
      <c r="M59" s="50"/>
      <c r="N59" s="50"/>
      <c r="O59" s="50"/>
      <c r="P59" s="50"/>
      <c r="Q59" s="50"/>
      <c r="R59" s="50"/>
      <c r="S59" s="50"/>
      <c r="T59" s="50"/>
      <c r="U59" s="50"/>
      <c r="V59" s="50"/>
      <c r="W59" s="50"/>
      <c r="X59" s="50"/>
      <c r="Y59" s="50"/>
      <c r="Z59" s="50"/>
    </row>
    <row r="60" spans="1:26" ht="15.75" customHeight="1" x14ac:dyDescent="0.35">
      <c r="A60" s="50"/>
      <c r="B60" s="89" t="s">
        <v>145</v>
      </c>
      <c r="C60" s="88"/>
      <c r="D60" s="155">
        <v>50</v>
      </c>
      <c r="E60" s="155">
        <v>50</v>
      </c>
      <c r="F60" s="155">
        <v>50</v>
      </c>
      <c r="G60" s="91"/>
      <c r="H60" s="91"/>
      <c r="I60" s="91"/>
      <c r="J60" s="91"/>
      <c r="K60" s="91"/>
      <c r="L60" s="92"/>
      <c r="M60" s="50"/>
      <c r="N60" s="50"/>
      <c r="O60" s="50"/>
      <c r="P60" s="50"/>
      <c r="Q60" s="50"/>
      <c r="R60" s="50"/>
      <c r="S60" s="50"/>
      <c r="T60" s="50"/>
      <c r="U60" s="50"/>
      <c r="V60" s="50"/>
      <c r="W60" s="50"/>
      <c r="X60" s="50"/>
      <c r="Y60" s="50"/>
      <c r="Z60" s="50"/>
    </row>
    <row r="61" spans="1:26" ht="15.75" customHeight="1" x14ac:dyDescent="0.35">
      <c r="A61" s="50"/>
      <c r="B61" s="89" t="s">
        <v>146</v>
      </c>
      <c r="C61" s="88"/>
      <c r="D61" s="155">
        <v>50</v>
      </c>
      <c r="E61" s="155">
        <v>50</v>
      </c>
      <c r="F61" s="155">
        <v>50</v>
      </c>
      <c r="G61" s="91"/>
      <c r="H61" s="91"/>
      <c r="I61" s="91"/>
      <c r="J61" s="91"/>
      <c r="K61" s="91"/>
      <c r="L61" s="92"/>
      <c r="M61" s="50"/>
      <c r="N61" s="50"/>
      <c r="O61" s="50"/>
      <c r="P61" s="50"/>
      <c r="Q61" s="50"/>
      <c r="R61" s="50"/>
      <c r="S61" s="50"/>
      <c r="T61" s="50"/>
      <c r="U61" s="50"/>
      <c r="V61" s="50"/>
      <c r="W61" s="50"/>
      <c r="X61" s="50"/>
      <c r="Y61" s="50"/>
      <c r="Z61" s="50"/>
    </row>
    <row r="62" spans="1:26" ht="15.75" customHeight="1" x14ac:dyDescent="0.35">
      <c r="A62" s="50"/>
      <c r="B62" s="89" t="s">
        <v>147</v>
      </c>
      <c r="C62" s="88"/>
      <c r="D62" s="155">
        <v>50</v>
      </c>
      <c r="E62" s="155">
        <v>50</v>
      </c>
      <c r="F62" s="155">
        <v>50</v>
      </c>
      <c r="G62" s="91"/>
      <c r="H62" s="91"/>
      <c r="I62" s="91"/>
      <c r="J62" s="91"/>
      <c r="K62" s="91"/>
      <c r="L62" s="92"/>
      <c r="M62" s="50"/>
      <c r="N62" s="50"/>
      <c r="O62" s="50"/>
      <c r="P62" s="50"/>
      <c r="Q62" s="50"/>
      <c r="R62" s="50"/>
      <c r="S62" s="50"/>
      <c r="T62" s="50"/>
      <c r="U62" s="50"/>
      <c r="V62" s="50"/>
      <c r="W62" s="50"/>
      <c r="X62" s="50"/>
      <c r="Y62" s="50"/>
      <c r="Z62" s="50"/>
    </row>
    <row r="63" spans="1:26" ht="15.75" customHeight="1" x14ac:dyDescent="0.35">
      <c r="A63" s="50"/>
      <c r="B63" s="89" t="s">
        <v>148</v>
      </c>
      <c r="C63" s="88"/>
      <c r="D63" s="155">
        <v>50</v>
      </c>
      <c r="E63" s="155">
        <v>50</v>
      </c>
      <c r="F63" s="155">
        <v>50</v>
      </c>
      <c r="G63" s="91"/>
      <c r="H63" s="91"/>
      <c r="I63" s="91"/>
      <c r="J63" s="91"/>
      <c r="K63" s="91"/>
      <c r="L63" s="92"/>
      <c r="M63" s="50"/>
      <c r="N63" s="50"/>
      <c r="O63" s="50"/>
      <c r="P63" s="50"/>
      <c r="Q63" s="50"/>
      <c r="R63" s="50"/>
      <c r="S63" s="50"/>
      <c r="T63" s="50"/>
      <c r="U63" s="50"/>
      <c r="V63" s="50"/>
      <c r="W63" s="50"/>
      <c r="X63" s="50"/>
      <c r="Y63" s="50"/>
      <c r="Z63" s="50"/>
    </row>
    <row r="64" spans="1:26" ht="15.75" customHeight="1" x14ac:dyDescent="0.35">
      <c r="A64" s="50"/>
      <c r="B64" s="89" t="s">
        <v>149</v>
      </c>
      <c r="C64" s="88"/>
      <c r="D64" s="155">
        <v>50</v>
      </c>
      <c r="E64" s="155">
        <v>50</v>
      </c>
      <c r="F64" s="155">
        <v>50</v>
      </c>
      <c r="G64" s="91"/>
      <c r="H64" s="91"/>
      <c r="I64" s="91"/>
      <c r="J64" s="91"/>
      <c r="K64" s="91"/>
      <c r="L64" s="92"/>
      <c r="M64" s="50"/>
      <c r="N64" s="50"/>
      <c r="O64" s="50"/>
      <c r="P64" s="50"/>
      <c r="Q64" s="50"/>
      <c r="R64" s="50"/>
      <c r="S64" s="50"/>
      <c r="T64" s="50"/>
      <c r="U64" s="50"/>
      <c r="V64" s="50"/>
      <c r="W64" s="50"/>
      <c r="X64" s="50"/>
      <c r="Y64" s="50"/>
      <c r="Z64" s="50"/>
    </row>
    <row r="65" spans="1:26" ht="15.75" customHeight="1" x14ac:dyDescent="0.35">
      <c r="A65" s="50"/>
      <c r="B65" s="89" t="s">
        <v>150</v>
      </c>
      <c r="C65" s="88"/>
      <c r="D65" s="155">
        <v>50</v>
      </c>
      <c r="E65" s="155">
        <v>50</v>
      </c>
      <c r="F65" s="155">
        <v>50</v>
      </c>
      <c r="G65" s="91"/>
      <c r="H65" s="91"/>
      <c r="I65" s="91"/>
      <c r="J65" s="91"/>
      <c r="K65" s="91"/>
      <c r="L65" s="92"/>
      <c r="M65" s="50"/>
      <c r="N65" s="50"/>
      <c r="O65" s="50"/>
      <c r="P65" s="50"/>
      <c r="Q65" s="50"/>
      <c r="R65" s="50"/>
      <c r="S65" s="50"/>
      <c r="T65" s="50"/>
      <c r="U65" s="50"/>
      <c r="V65" s="50"/>
      <c r="W65" s="50"/>
      <c r="X65" s="50"/>
      <c r="Y65" s="50"/>
      <c r="Z65" s="50"/>
    </row>
    <row r="66" spans="1:26" ht="15.75" customHeight="1" x14ac:dyDescent="0.35">
      <c r="A66" s="50"/>
      <c r="B66" s="89" t="s">
        <v>151</v>
      </c>
      <c r="C66" s="88"/>
      <c r="D66" s="155">
        <v>50</v>
      </c>
      <c r="E66" s="155">
        <v>50</v>
      </c>
      <c r="F66" s="155">
        <v>50</v>
      </c>
      <c r="G66" s="91"/>
      <c r="H66" s="91"/>
      <c r="I66" s="91"/>
      <c r="J66" s="91"/>
      <c r="K66" s="91"/>
      <c r="L66" s="92"/>
      <c r="M66" s="50"/>
      <c r="N66" s="50"/>
      <c r="O66" s="50"/>
      <c r="P66" s="50"/>
      <c r="Q66" s="50"/>
      <c r="R66" s="50"/>
      <c r="S66" s="50"/>
      <c r="T66" s="50"/>
      <c r="U66" s="50"/>
      <c r="V66" s="50"/>
      <c r="W66" s="50"/>
      <c r="X66" s="50"/>
      <c r="Y66" s="50"/>
      <c r="Z66" s="50"/>
    </row>
    <row r="67" spans="1:26" ht="15.75" customHeight="1" x14ac:dyDescent="0.35">
      <c r="A67" s="50"/>
      <c r="B67" s="89" t="s">
        <v>152</v>
      </c>
      <c r="C67" s="88"/>
      <c r="D67" s="155">
        <v>50</v>
      </c>
      <c r="E67" s="155">
        <v>50</v>
      </c>
      <c r="F67" s="155">
        <v>50</v>
      </c>
      <c r="G67" s="91"/>
      <c r="H67" s="91"/>
      <c r="I67" s="91"/>
      <c r="J67" s="91"/>
      <c r="K67" s="91"/>
      <c r="L67" s="92"/>
      <c r="M67" s="50"/>
      <c r="N67" s="50"/>
      <c r="O67" s="50"/>
      <c r="P67" s="50"/>
      <c r="Q67" s="50"/>
      <c r="R67" s="50"/>
      <c r="S67" s="50"/>
      <c r="T67" s="50"/>
      <c r="U67" s="50"/>
      <c r="V67" s="50"/>
      <c r="W67" s="50"/>
      <c r="X67" s="50"/>
      <c r="Y67" s="50"/>
      <c r="Z67" s="50"/>
    </row>
    <row r="68" spans="1:26" ht="15.75" customHeight="1" x14ac:dyDescent="0.35">
      <c r="A68" s="50"/>
      <c r="B68" s="89" t="s">
        <v>153</v>
      </c>
      <c r="C68" s="88"/>
      <c r="D68" s="155">
        <v>50</v>
      </c>
      <c r="E68" s="155">
        <v>50</v>
      </c>
      <c r="F68" s="155">
        <v>50</v>
      </c>
      <c r="G68" s="91"/>
      <c r="H68" s="91"/>
      <c r="I68" s="91"/>
      <c r="J68" s="91"/>
      <c r="K68" s="91"/>
      <c r="L68" s="92"/>
      <c r="M68" s="50"/>
      <c r="N68" s="50"/>
      <c r="O68" s="50"/>
      <c r="P68" s="50"/>
      <c r="Q68" s="50"/>
      <c r="R68" s="50"/>
      <c r="S68" s="50"/>
      <c r="T68" s="50"/>
      <c r="U68" s="50"/>
      <c r="V68" s="50"/>
      <c r="W68" s="50"/>
      <c r="X68" s="50"/>
      <c r="Y68" s="50"/>
      <c r="Z68" s="50"/>
    </row>
    <row r="69" spans="1:26" ht="15.75" customHeight="1" x14ac:dyDescent="0.35">
      <c r="A69" s="50"/>
      <c r="B69" s="89" t="s">
        <v>154</v>
      </c>
      <c r="C69" s="88"/>
      <c r="D69" s="155">
        <v>50</v>
      </c>
      <c r="E69" s="155">
        <v>50</v>
      </c>
      <c r="F69" s="155">
        <v>50</v>
      </c>
      <c r="G69" s="91"/>
      <c r="H69" s="91"/>
      <c r="I69" s="91"/>
      <c r="J69" s="91"/>
      <c r="K69" s="91"/>
      <c r="L69" s="92"/>
      <c r="M69" s="50"/>
      <c r="N69" s="50"/>
      <c r="O69" s="50"/>
      <c r="P69" s="50"/>
      <c r="Q69" s="50"/>
      <c r="R69" s="50"/>
      <c r="S69" s="50"/>
      <c r="T69" s="50"/>
      <c r="U69" s="50"/>
      <c r="V69" s="50"/>
      <c r="W69" s="50"/>
      <c r="X69" s="50"/>
      <c r="Y69" s="50"/>
      <c r="Z69" s="50"/>
    </row>
    <row r="70" spans="1:26" ht="15.75" customHeight="1" x14ac:dyDescent="0.35">
      <c r="A70" s="50"/>
      <c r="B70" s="89" t="s">
        <v>155</v>
      </c>
      <c r="C70" s="88"/>
      <c r="D70" s="155">
        <v>50</v>
      </c>
      <c r="E70" s="155">
        <v>50</v>
      </c>
      <c r="F70" s="155">
        <v>50</v>
      </c>
      <c r="G70" s="91"/>
      <c r="H70" s="91"/>
      <c r="I70" s="91"/>
      <c r="J70" s="91"/>
      <c r="K70" s="91"/>
      <c r="L70" s="92"/>
      <c r="M70" s="50"/>
      <c r="N70" s="50"/>
      <c r="O70" s="50"/>
      <c r="P70" s="50"/>
      <c r="Q70" s="50"/>
      <c r="R70" s="50"/>
      <c r="S70" s="50"/>
      <c r="T70" s="50"/>
      <c r="U70" s="50"/>
      <c r="V70" s="50"/>
      <c r="W70" s="50"/>
      <c r="X70" s="50"/>
      <c r="Y70" s="50"/>
      <c r="Z70" s="50"/>
    </row>
    <row r="71" spans="1:26" ht="15.75" customHeight="1" x14ac:dyDescent="0.35">
      <c r="A71" s="50"/>
      <c r="B71" s="89" t="s">
        <v>156</v>
      </c>
      <c r="C71" s="88"/>
      <c r="D71" s="155">
        <v>50</v>
      </c>
      <c r="E71" s="155">
        <v>50</v>
      </c>
      <c r="F71" s="155">
        <v>50</v>
      </c>
      <c r="G71" s="91"/>
      <c r="H71" s="91"/>
      <c r="I71" s="91"/>
      <c r="J71" s="91"/>
      <c r="K71" s="91"/>
      <c r="L71" s="92"/>
      <c r="M71" s="50"/>
      <c r="N71" s="50"/>
      <c r="O71" s="50"/>
      <c r="P71" s="50"/>
      <c r="Q71" s="50"/>
      <c r="R71" s="50"/>
      <c r="S71" s="50"/>
      <c r="T71" s="50"/>
      <c r="U71" s="50"/>
      <c r="V71" s="50"/>
      <c r="W71" s="50"/>
      <c r="X71" s="50"/>
      <c r="Y71" s="50"/>
      <c r="Z71" s="50"/>
    </row>
    <row r="72" spans="1:26" ht="15.75" customHeight="1" x14ac:dyDescent="0.35">
      <c r="A72" s="50"/>
      <c r="B72" s="154" t="s">
        <v>157</v>
      </c>
      <c r="C72" s="88"/>
      <c r="D72" s="155">
        <v>50</v>
      </c>
      <c r="E72" s="155">
        <v>50</v>
      </c>
      <c r="F72" s="155">
        <v>50</v>
      </c>
      <c r="G72" s="91"/>
      <c r="H72" s="91"/>
      <c r="I72" s="91"/>
      <c r="J72" s="91"/>
      <c r="K72" s="91"/>
      <c r="L72" s="92"/>
      <c r="M72" s="50"/>
      <c r="N72" s="50"/>
      <c r="O72" s="50"/>
      <c r="P72" s="50"/>
      <c r="Q72" s="50"/>
      <c r="R72" s="50"/>
      <c r="S72" s="50"/>
      <c r="T72" s="50"/>
      <c r="U72" s="50"/>
      <c r="V72" s="50"/>
      <c r="W72" s="50"/>
      <c r="X72" s="50"/>
      <c r="Y72" s="50"/>
      <c r="Z72" s="50"/>
    </row>
    <row r="73" spans="1:26" ht="15.75" customHeight="1" x14ac:dyDescent="0.35">
      <c r="A73" s="50"/>
      <c r="B73" s="89" t="s">
        <v>158</v>
      </c>
      <c r="C73" s="88"/>
      <c r="D73" s="155">
        <v>50</v>
      </c>
      <c r="E73" s="155">
        <v>50</v>
      </c>
      <c r="F73" s="155">
        <v>50</v>
      </c>
      <c r="G73" s="91"/>
      <c r="H73" s="91"/>
      <c r="I73" s="91"/>
      <c r="J73" s="91"/>
      <c r="K73" s="91"/>
      <c r="L73" s="92"/>
      <c r="M73" s="50"/>
      <c r="N73" s="50"/>
      <c r="O73" s="50"/>
      <c r="P73" s="50"/>
      <c r="Q73" s="50"/>
      <c r="R73" s="50"/>
      <c r="S73" s="50"/>
      <c r="T73" s="50"/>
      <c r="U73" s="50"/>
      <c r="V73" s="50"/>
      <c r="W73" s="50"/>
      <c r="X73" s="50"/>
      <c r="Y73" s="50"/>
      <c r="Z73" s="50"/>
    </row>
    <row r="74" spans="1:26" ht="31.5" customHeight="1" x14ac:dyDescent="0.35">
      <c r="A74" s="50"/>
      <c r="B74" s="96" t="s">
        <v>108</v>
      </c>
      <c r="C74" s="88" t="s">
        <v>109</v>
      </c>
      <c r="D74" s="97">
        <v>0.01</v>
      </c>
      <c r="E74" s="91"/>
      <c r="F74" s="91"/>
      <c r="G74" s="563" t="s">
        <v>110</v>
      </c>
      <c r="H74" s="546"/>
      <c r="I74" s="546"/>
      <c r="J74" s="534"/>
      <c r="K74" s="91"/>
      <c r="L74" s="92"/>
      <c r="M74" s="50"/>
      <c r="N74" s="50"/>
      <c r="O74" s="50"/>
      <c r="P74" s="50"/>
      <c r="Q74" s="50"/>
      <c r="R74" s="50"/>
      <c r="S74" s="50"/>
      <c r="T74" s="50"/>
      <c r="U74" s="50"/>
      <c r="V74" s="50"/>
      <c r="W74" s="50"/>
      <c r="X74" s="50"/>
      <c r="Y74" s="50"/>
      <c r="Z74" s="50"/>
    </row>
    <row r="75" spans="1:26" ht="15.75" customHeight="1" x14ac:dyDescent="0.35">
      <c r="A75" s="50"/>
      <c r="B75" s="96" t="s">
        <v>111</v>
      </c>
      <c r="C75" s="88" t="s">
        <v>109</v>
      </c>
      <c r="D75" s="97">
        <v>0.01</v>
      </c>
      <c r="E75" s="91"/>
      <c r="F75" s="91"/>
      <c r="G75" s="567" t="s">
        <v>112</v>
      </c>
      <c r="H75" s="546"/>
      <c r="I75" s="546"/>
      <c r="J75" s="534"/>
      <c r="K75" s="91"/>
      <c r="L75" s="92"/>
      <c r="M75" s="50"/>
      <c r="N75" s="50"/>
      <c r="O75" s="50"/>
      <c r="P75" s="50"/>
      <c r="Q75" s="50"/>
      <c r="R75" s="50"/>
      <c r="S75" s="50"/>
      <c r="T75" s="50"/>
      <c r="U75" s="50"/>
      <c r="V75" s="50"/>
      <c r="W75" s="50"/>
      <c r="X75" s="50"/>
      <c r="Y75" s="50"/>
      <c r="Z75" s="50"/>
    </row>
    <row r="76" spans="1:26" ht="15.75" customHeight="1" x14ac:dyDescent="0.35">
      <c r="A76" s="50"/>
      <c r="B76" s="96" t="s">
        <v>113</v>
      </c>
      <c r="C76" s="88" t="s">
        <v>109</v>
      </c>
      <c r="D76" s="98" t="s">
        <v>114</v>
      </c>
      <c r="E76" s="91"/>
      <c r="F76" s="91"/>
      <c r="G76" s="563" t="s">
        <v>115</v>
      </c>
      <c r="H76" s="546"/>
      <c r="I76" s="546"/>
      <c r="J76" s="546"/>
      <c r="K76" s="546"/>
      <c r="L76" s="558"/>
      <c r="M76" s="50"/>
      <c r="N76" s="50"/>
      <c r="O76" s="50"/>
      <c r="P76" s="50"/>
      <c r="Q76" s="50"/>
      <c r="R76" s="50"/>
      <c r="S76" s="50"/>
      <c r="T76" s="50"/>
      <c r="U76" s="50"/>
      <c r="V76" s="50"/>
      <c r="W76" s="50"/>
      <c r="X76" s="50"/>
      <c r="Y76" s="50"/>
      <c r="Z76" s="50"/>
    </row>
    <row r="77" spans="1:26" ht="15.75" customHeight="1" x14ac:dyDescent="0.35">
      <c r="A77" s="50"/>
      <c r="B77" s="96" t="s">
        <v>116</v>
      </c>
      <c r="C77" s="88" t="s">
        <v>109</v>
      </c>
      <c r="D77" s="156">
        <f>VLOOKUP(D76,B78:D80,3,FALSE)</f>
        <v>0.05</v>
      </c>
      <c r="E77" s="91"/>
      <c r="F77" s="91"/>
      <c r="G77" s="91" t="s">
        <v>117</v>
      </c>
      <c r="H77" s="91"/>
      <c r="I77" s="91"/>
      <c r="J77" s="91"/>
      <c r="K77" s="91"/>
      <c r="L77" s="92"/>
      <c r="M77" s="50"/>
      <c r="N77" s="50"/>
      <c r="O77" s="50"/>
      <c r="P77" s="50"/>
      <c r="Q77" s="50"/>
      <c r="R77" s="50"/>
      <c r="S77" s="50"/>
      <c r="T77" s="50"/>
      <c r="U77" s="50"/>
      <c r="V77" s="50"/>
      <c r="W77" s="50"/>
      <c r="X77" s="50"/>
      <c r="Y77" s="50"/>
      <c r="Z77" s="50"/>
    </row>
    <row r="78" spans="1:26" ht="15.75" customHeight="1" x14ac:dyDescent="0.35">
      <c r="A78" s="50"/>
      <c r="B78" s="101" t="s">
        <v>114</v>
      </c>
      <c r="C78" s="102" t="s">
        <v>109</v>
      </c>
      <c r="D78" s="103">
        <v>0.05</v>
      </c>
      <c r="E78" s="91"/>
      <c r="F78" s="91"/>
      <c r="G78" s="91" t="s">
        <v>118</v>
      </c>
      <c r="H78" s="91"/>
      <c r="I78" s="91"/>
      <c r="J78" s="91"/>
      <c r="K78" s="91"/>
      <c r="L78" s="92"/>
      <c r="M78" s="50"/>
      <c r="N78" s="50"/>
      <c r="O78" s="50"/>
      <c r="P78" s="50"/>
      <c r="Q78" s="50"/>
      <c r="R78" s="50"/>
      <c r="S78" s="50"/>
      <c r="T78" s="50"/>
      <c r="U78" s="50"/>
      <c r="V78" s="50"/>
      <c r="W78" s="50"/>
      <c r="X78" s="50"/>
      <c r="Y78" s="50"/>
      <c r="Z78" s="50"/>
    </row>
    <row r="79" spans="1:26" ht="15.75" customHeight="1" x14ac:dyDescent="0.35">
      <c r="A79" s="50"/>
      <c r="B79" s="101" t="s">
        <v>119</v>
      </c>
      <c r="C79" s="102" t="s">
        <v>109</v>
      </c>
      <c r="D79" s="103">
        <v>0.03</v>
      </c>
      <c r="E79" s="91"/>
      <c r="F79" s="91"/>
      <c r="G79" s="91" t="s">
        <v>120</v>
      </c>
      <c r="H79" s="91"/>
      <c r="I79" s="91"/>
      <c r="J79" s="91"/>
      <c r="K79" s="91"/>
      <c r="L79" s="92"/>
      <c r="M79" s="50"/>
      <c r="N79" s="50"/>
      <c r="O79" s="50"/>
      <c r="P79" s="50"/>
      <c r="Q79" s="50"/>
      <c r="R79" s="50"/>
      <c r="S79" s="50"/>
      <c r="T79" s="50"/>
      <c r="U79" s="50"/>
      <c r="V79" s="50"/>
      <c r="W79" s="50"/>
      <c r="X79" s="50"/>
      <c r="Y79" s="50"/>
      <c r="Z79" s="50"/>
    </row>
    <row r="80" spans="1:26" ht="15.75" customHeight="1" x14ac:dyDescent="0.35">
      <c r="A80" s="50"/>
      <c r="B80" s="101" t="s">
        <v>121</v>
      </c>
      <c r="C80" s="102" t="s">
        <v>109</v>
      </c>
      <c r="D80" s="103">
        <v>0.01</v>
      </c>
      <c r="E80" s="91"/>
      <c r="F80" s="91"/>
      <c r="G80" s="91" t="s">
        <v>122</v>
      </c>
      <c r="H80" s="91"/>
      <c r="I80" s="91"/>
      <c r="J80" s="91"/>
      <c r="K80" s="91"/>
      <c r="L80" s="92"/>
      <c r="M80" s="50"/>
      <c r="N80" s="50"/>
      <c r="O80" s="50"/>
      <c r="P80" s="50"/>
      <c r="Q80" s="50"/>
      <c r="R80" s="50"/>
      <c r="S80" s="50"/>
      <c r="T80" s="50"/>
      <c r="U80" s="50"/>
      <c r="V80" s="50"/>
      <c r="W80" s="50"/>
      <c r="X80" s="50"/>
      <c r="Y80" s="50"/>
      <c r="Z80" s="50"/>
    </row>
    <row r="81" spans="1:26" ht="15.75" customHeight="1" x14ac:dyDescent="0.35">
      <c r="A81" s="50"/>
      <c r="B81" s="104" t="s">
        <v>123</v>
      </c>
      <c r="C81" s="88"/>
      <c r="D81" s="97">
        <v>0.01</v>
      </c>
      <c r="E81" s="91"/>
      <c r="F81" s="91"/>
      <c r="G81" s="91" t="s">
        <v>124</v>
      </c>
      <c r="H81" s="91"/>
      <c r="I81" s="91"/>
      <c r="J81" s="91"/>
      <c r="K81" s="91"/>
      <c r="L81" s="92"/>
      <c r="M81" s="50"/>
      <c r="N81" s="50"/>
      <c r="O81" s="50"/>
      <c r="P81" s="50"/>
      <c r="Q81" s="50"/>
      <c r="R81" s="50"/>
      <c r="S81" s="50"/>
      <c r="T81" s="50"/>
      <c r="U81" s="50"/>
      <c r="V81" s="50"/>
      <c r="W81" s="50"/>
      <c r="X81" s="50"/>
      <c r="Y81" s="50"/>
      <c r="Z81" s="50"/>
    </row>
    <row r="82" spans="1:26" ht="15.75" customHeight="1" x14ac:dyDescent="0.35">
      <c r="A82" s="50"/>
      <c r="B82" s="96" t="s">
        <v>125</v>
      </c>
      <c r="C82" s="88"/>
      <c r="D82" s="97">
        <v>0.01</v>
      </c>
      <c r="E82" s="91"/>
      <c r="F82" s="91"/>
      <c r="G82" s="91" t="s">
        <v>126</v>
      </c>
      <c r="H82" s="91"/>
      <c r="I82" s="91"/>
      <c r="J82" s="91"/>
      <c r="K82" s="91"/>
      <c r="L82" s="92"/>
      <c r="M82" s="50"/>
      <c r="N82" s="50"/>
      <c r="O82" s="50"/>
      <c r="P82" s="50"/>
      <c r="Q82" s="50"/>
      <c r="R82" s="50"/>
      <c r="S82" s="50"/>
      <c r="T82" s="50"/>
      <c r="U82" s="50"/>
      <c r="V82" s="50"/>
      <c r="W82" s="50"/>
      <c r="X82" s="50"/>
      <c r="Y82" s="50"/>
      <c r="Z82" s="50"/>
    </row>
    <row r="83" spans="1:26" ht="15.75" customHeight="1" x14ac:dyDescent="0.35">
      <c r="A83" s="50"/>
      <c r="B83" s="106" t="s">
        <v>127</v>
      </c>
      <c r="C83" s="107"/>
      <c r="D83" s="157">
        <f>'1.Red. Purch. Cost Patient Care'!D68</f>
        <v>0.05</v>
      </c>
      <c r="E83" s="109"/>
      <c r="F83" s="109"/>
      <c r="G83" s="109" t="s">
        <v>128</v>
      </c>
      <c r="H83" s="109"/>
      <c r="I83" s="109"/>
      <c r="J83" s="109"/>
      <c r="K83" s="109"/>
      <c r="L83" s="158"/>
      <c r="M83" s="50"/>
      <c r="N83" s="50"/>
      <c r="O83" s="50"/>
      <c r="P83" s="50"/>
      <c r="Q83" s="50"/>
      <c r="R83" s="50"/>
      <c r="S83" s="50"/>
      <c r="T83" s="50"/>
      <c r="U83" s="50"/>
      <c r="V83" s="50"/>
      <c r="W83" s="50"/>
      <c r="X83" s="50"/>
      <c r="Y83" s="50"/>
      <c r="Z83" s="50"/>
    </row>
    <row r="84" spans="1:26" ht="15.75" customHeight="1" x14ac:dyDescent="0.3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x14ac:dyDescent="0.35">
      <c r="A85" s="50"/>
      <c r="B85" s="35" t="s">
        <v>55</v>
      </c>
      <c r="C85" s="38"/>
      <c r="D85" s="565" t="s">
        <v>129</v>
      </c>
      <c r="E85" s="552"/>
      <c r="F85" s="553"/>
      <c r="G85" s="112" t="s">
        <v>130</v>
      </c>
      <c r="H85" s="38" t="e">
        <f t="shared" ref="H85:P85" si="2">+G85+1</f>
        <v>#VALUE!</v>
      </c>
      <c r="I85" s="38" t="e">
        <f t="shared" si="2"/>
        <v>#VALUE!</v>
      </c>
      <c r="J85" s="38" t="e">
        <f t="shared" si="2"/>
        <v>#VALUE!</v>
      </c>
      <c r="K85" s="38" t="e">
        <f t="shared" si="2"/>
        <v>#VALUE!</v>
      </c>
      <c r="L85" s="38" t="e">
        <f t="shared" si="2"/>
        <v>#VALUE!</v>
      </c>
      <c r="M85" s="38" t="e">
        <f t="shared" si="2"/>
        <v>#VALUE!</v>
      </c>
      <c r="N85" s="38" t="e">
        <f t="shared" si="2"/>
        <v>#VALUE!</v>
      </c>
      <c r="O85" s="38" t="e">
        <f t="shared" si="2"/>
        <v>#VALUE!</v>
      </c>
      <c r="P85" s="39" t="e">
        <f t="shared" si="2"/>
        <v>#VALUE!</v>
      </c>
      <c r="Q85" s="50"/>
      <c r="R85" s="50"/>
      <c r="S85" s="50"/>
      <c r="T85" s="50"/>
      <c r="U85" s="50"/>
      <c r="V85" s="50"/>
      <c r="W85" s="50"/>
      <c r="X85" s="50"/>
      <c r="Y85" s="50"/>
      <c r="Z85" s="50"/>
    </row>
    <row r="86" spans="1:26" ht="15.75" customHeight="1" x14ac:dyDescent="0.35">
      <c r="A86" s="50"/>
      <c r="B86" s="40"/>
      <c r="C86" s="113"/>
      <c r="D86" s="159">
        <v>1</v>
      </c>
      <c r="E86" s="159">
        <f>+D86+1</f>
        <v>2</v>
      </c>
      <c r="F86" s="159">
        <f t="shared" ref="F86:P86" si="3">E86+1</f>
        <v>3</v>
      </c>
      <c r="G86" s="159">
        <f t="shared" si="3"/>
        <v>4</v>
      </c>
      <c r="H86" s="159">
        <f t="shared" si="3"/>
        <v>5</v>
      </c>
      <c r="I86" s="159">
        <f t="shared" si="3"/>
        <v>6</v>
      </c>
      <c r="J86" s="159">
        <f t="shared" si="3"/>
        <v>7</v>
      </c>
      <c r="K86" s="159">
        <f t="shared" si="3"/>
        <v>8</v>
      </c>
      <c r="L86" s="159">
        <f t="shared" si="3"/>
        <v>9</v>
      </c>
      <c r="M86" s="159">
        <f t="shared" si="3"/>
        <v>10</v>
      </c>
      <c r="N86" s="159">
        <f t="shared" si="3"/>
        <v>11</v>
      </c>
      <c r="O86" s="159">
        <f t="shared" si="3"/>
        <v>12</v>
      </c>
      <c r="P86" s="160">
        <f t="shared" si="3"/>
        <v>13</v>
      </c>
      <c r="Q86" s="50"/>
      <c r="R86" s="50"/>
      <c r="S86" s="50"/>
      <c r="T86" s="50"/>
      <c r="U86" s="50"/>
      <c r="V86" s="50"/>
      <c r="W86" s="50"/>
      <c r="X86" s="50"/>
      <c r="Y86" s="50"/>
      <c r="Z86" s="50"/>
    </row>
    <row r="87" spans="1:26" ht="15.75" customHeight="1" x14ac:dyDescent="0.35">
      <c r="A87" s="50"/>
      <c r="B87" s="46" t="s">
        <v>162</v>
      </c>
      <c r="C87" s="47"/>
      <c r="D87" s="49"/>
      <c r="E87" s="49"/>
      <c r="F87" s="49"/>
      <c r="G87" s="49"/>
      <c r="H87" s="49"/>
      <c r="I87" s="49"/>
      <c r="J87" s="49"/>
      <c r="K87" s="49"/>
      <c r="L87" s="49"/>
      <c r="M87" s="49"/>
      <c r="N87" s="50"/>
      <c r="O87" s="50"/>
      <c r="P87" s="115"/>
      <c r="Q87" s="50"/>
      <c r="R87" s="50"/>
      <c r="S87" s="50"/>
      <c r="T87" s="50"/>
      <c r="U87" s="50"/>
      <c r="V87" s="50"/>
      <c r="W87" s="50"/>
      <c r="X87" s="50"/>
      <c r="Y87" s="50"/>
      <c r="Z87" s="50"/>
    </row>
    <row r="88" spans="1:26" ht="15.75" customHeight="1" x14ac:dyDescent="0.35">
      <c r="A88" s="50"/>
      <c r="B88" s="53" t="s">
        <v>145</v>
      </c>
      <c r="C88" s="116" t="s">
        <v>94</v>
      </c>
      <c r="D88" s="49">
        <f t="shared" ref="D88:F88" si="4">D12</f>
        <v>1000</v>
      </c>
      <c r="E88" s="49">
        <f t="shared" si="4"/>
        <v>1000</v>
      </c>
      <c r="F88" s="49">
        <f t="shared" si="4"/>
        <v>1000</v>
      </c>
      <c r="G88" s="49">
        <f t="shared" ref="G88:P88" si="5">F88*(1+$D$74)</f>
        <v>1010</v>
      </c>
      <c r="H88" s="49">
        <f t="shared" si="5"/>
        <v>1020.1</v>
      </c>
      <c r="I88" s="49">
        <f t="shared" si="5"/>
        <v>1030.3009999999999</v>
      </c>
      <c r="J88" s="49">
        <f t="shared" si="5"/>
        <v>1040.60401</v>
      </c>
      <c r="K88" s="49">
        <f t="shared" si="5"/>
        <v>1051.0100500999999</v>
      </c>
      <c r="L88" s="49">
        <f t="shared" si="5"/>
        <v>1061.5201506009998</v>
      </c>
      <c r="M88" s="49">
        <f t="shared" si="5"/>
        <v>1072.1353521070098</v>
      </c>
      <c r="N88" s="49">
        <f t="shared" si="5"/>
        <v>1082.8567056280799</v>
      </c>
      <c r="O88" s="49">
        <f t="shared" si="5"/>
        <v>1093.6852726843608</v>
      </c>
      <c r="P88" s="117">
        <f t="shared" si="5"/>
        <v>1104.6221254112045</v>
      </c>
      <c r="Q88" s="50"/>
      <c r="R88" s="50"/>
      <c r="S88" s="50"/>
      <c r="T88" s="50"/>
      <c r="U88" s="50"/>
      <c r="V88" s="50"/>
      <c r="W88" s="50"/>
      <c r="X88" s="50"/>
      <c r="Y88" s="50"/>
      <c r="Z88" s="50"/>
    </row>
    <row r="89" spans="1:26" ht="15.75" customHeight="1" x14ac:dyDescent="0.35">
      <c r="A89" s="50"/>
      <c r="B89" s="53" t="s">
        <v>146</v>
      </c>
      <c r="C89" s="116" t="s">
        <v>94</v>
      </c>
      <c r="D89" s="49">
        <f t="shared" ref="D89:F89" si="6">D13</f>
        <v>1000</v>
      </c>
      <c r="E89" s="49">
        <f t="shared" si="6"/>
        <v>1000</v>
      </c>
      <c r="F89" s="49">
        <f t="shared" si="6"/>
        <v>1000</v>
      </c>
      <c r="G89" s="49">
        <f t="shared" ref="G89:P89" si="7">F89*(1+$D$74)</f>
        <v>1010</v>
      </c>
      <c r="H89" s="49">
        <f t="shared" si="7"/>
        <v>1020.1</v>
      </c>
      <c r="I89" s="49">
        <f t="shared" si="7"/>
        <v>1030.3009999999999</v>
      </c>
      <c r="J89" s="49">
        <f t="shared" si="7"/>
        <v>1040.60401</v>
      </c>
      <c r="K89" s="49">
        <f t="shared" si="7"/>
        <v>1051.0100500999999</v>
      </c>
      <c r="L89" s="49">
        <f t="shared" si="7"/>
        <v>1061.5201506009998</v>
      </c>
      <c r="M89" s="49">
        <f t="shared" si="7"/>
        <v>1072.1353521070098</v>
      </c>
      <c r="N89" s="49">
        <f t="shared" si="7"/>
        <v>1082.8567056280799</v>
      </c>
      <c r="O89" s="49">
        <f t="shared" si="7"/>
        <v>1093.6852726843608</v>
      </c>
      <c r="P89" s="117">
        <f t="shared" si="7"/>
        <v>1104.6221254112045</v>
      </c>
      <c r="Q89" s="50"/>
      <c r="R89" s="50"/>
      <c r="S89" s="50"/>
      <c r="T89" s="50"/>
      <c r="U89" s="50"/>
      <c r="V89" s="50"/>
      <c r="W89" s="50"/>
      <c r="X89" s="50"/>
      <c r="Y89" s="50"/>
      <c r="Z89" s="50"/>
    </row>
    <row r="90" spans="1:26" ht="15.75" customHeight="1" x14ac:dyDescent="0.35">
      <c r="A90" s="50"/>
      <c r="B90" s="53" t="s">
        <v>147</v>
      </c>
      <c r="C90" s="116" t="s">
        <v>94</v>
      </c>
      <c r="D90" s="49">
        <f t="shared" ref="D90:F90" si="8">D14</f>
        <v>1000</v>
      </c>
      <c r="E90" s="49">
        <f t="shared" si="8"/>
        <v>1000</v>
      </c>
      <c r="F90" s="49">
        <f t="shared" si="8"/>
        <v>1000</v>
      </c>
      <c r="G90" s="49">
        <f t="shared" ref="G90:P90" si="9">F90*(1+$D$74)</f>
        <v>1010</v>
      </c>
      <c r="H90" s="49">
        <f t="shared" si="9"/>
        <v>1020.1</v>
      </c>
      <c r="I90" s="49">
        <f t="shared" si="9"/>
        <v>1030.3009999999999</v>
      </c>
      <c r="J90" s="49">
        <f t="shared" si="9"/>
        <v>1040.60401</v>
      </c>
      <c r="K90" s="49">
        <f t="shared" si="9"/>
        <v>1051.0100500999999</v>
      </c>
      <c r="L90" s="49">
        <f t="shared" si="9"/>
        <v>1061.5201506009998</v>
      </c>
      <c r="M90" s="49">
        <f t="shared" si="9"/>
        <v>1072.1353521070098</v>
      </c>
      <c r="N90" s="49">
        <f t="shared" si="9"/>
        <v>1082.8567056280799</v>
      </c>
      <c r="O90" s="49">
        <f t="shared" si="9"/>
        <v>1093.6852726843608</v>
      </c>
      <c r="P90" s="117">
        <f t="shared" si="9"/>
        <v>1104.6221254112045</v>
      </c>
      <c r="Q90" s="50"/>
      <c r="R90" s="50"/>
      <c r="S90" s="50"/>
      <c r="T90" s="50"/>
      <c r="U90" s="50"/>
      <c r="V90" s="50"/>
      <c r="W90" s="50"/>
      <c r="X90" s="50"/>
      <c r="Y90" s="50"/>
      <c r="Z90" s="50"/>
    </row>
    <row r="91" spans="1:26" ht="15.75" customHeight="1" x14ac:dyDescent="0.35">
      <c r="A91" s="50"/>
      <c r="B91" s="53" t="s">
        <v>148</v>
      </c>
      <c r="C91" s="116" t="s">
        <v>94</v>
      </c>
      <c r="D91" s="49">
        <f t="shared" ref="D91:F91" si="10">D15</f>
        <v>1000</v>
      </c>
      <c r="E91" s="49">
        <f t="shared" si="10"/>
        <v>1000</v>
      </c>
      <c r="F91" s="49">
        <f t="shared" si="10"/>
        <v>1000</v>
      </c>
      <c r="G91" s="49">
        <f t="shared" ref="G91:P91" si="11">F91*(1+$D$74)</f>
        <v>1010</v>
      </c>
      <c r="H91" s="49">
        <f t="shared" si="11"/>
        <v>1020.1</v>
      </c>
      <c r="I91" s="49">
        <f t="shared" si="11"/>
        <v>1030.3009999999999</v>
      </c>
      <c r="J91" s="49">
        <f t="shared" si="11"/>
        <v>1040.60401</v>
      </c>
      <c r="K91" s="49">
        <f t="shared" si="11"/>
        <v>1051.0100500999999</v>
      </c>
      <c r="L91" s="49">
        <f t="shared" si="11"/>
        <v>1061.5201506009998</v>
      </c>
      <c r="M91" s="49">
        <f t="shared" si="11"/>
        <v>1072.1353521070098</v>
      </c>
      <c r="N91" s="49">
        <f t="shared" si="11"/>
        <v>1082.8567056280799</v>
      </c>
      <c r="O91" s="49">
        <f t="shared" si="11"/>
        <v>1093.6852726843608</v>
      </c>
      <c r="P91" s="117">
        <f t="shared" si="11"/>
        <v>1104.6221254112045</v>
      </c>
      <c r="Q91" s="50"/>
      <c r="R91" s="50"/>
      <c r="S91" s="50"/>
      <c r="T91" s="50"/>
      <c r="U91" s="50"/>
      <c r="V91" s="50"/>
      <c r="W91" s="50"/>
      <c r="X91" s="50"/>
      <c r="Y91" s="50"/>
      <c r="Z91" s="50"/>
    </row>
    <row r="92" spans="1:26" ht="15.75" customHeight="1" x14ac:dyDescent="0.35">
      <c r="A92" s="50"/>
      <c r="B92" s="53" t="s">
        <v>149</v>
      </c>
      <c r="C92" s="116" t="s">
        <v>94</v>
      </c>
      <c r="D92" s="49">
        <f t="shared" ref="D92:F92" si="12">D16</f>
        <v>1000</v>
      </c>
      <c r="E92" s="49">
        <f t="shared" si="12"/>
        <v>1000</v>
      </c>
      <c r="F92" s="49">
        <f t="shared" si="12"/>
        <v>1000</v>
      </c>
      <c r="G92" s="49">
        <f t="shared" ref="G92:P92" si="13">F92*(1+$D$74)</f>
        <v>1010</v>
      </c>
      <c r="H92" s="49">
        <f t="shared" si="13"/>
        <v>1020.1</v>
      </c>
      <c r="I92" s="49">
        <f t="shared" si="13"/>
        <v>1030.3009999999999</v>
      </c>
      <c r="J92" s="49">
        <f t="shared" si="13"/>
        <v>1040.60401</v>
      </c>
      <c r="K92" s="49">
        <f t="shared" si="13"/>
        <v>1051.0100500999999</v>
      </c>
      <c r="L92" s="49">
        <f t="shared" si="13"/>
        <v>1061.5201506009998</v>
      </c>
      <c r="M92" s="49">
        <f t="shared" si="13"/>
        <v>1072.1353521070098</v>
      </c>
      <c r="N92" s="49">
        <f t="shared" si="13"/>
        <v>1082.8567056280799</v>
      </c>
      <c r="O92" s="49">
        <f t="shared" si="13"/>
        <v>1093.6852726843608</v>
      </c>
      <c r="P92" s="117">
        <f t="shared" si="13"/>
        <v>1104.6221254112045</v>
      </c>
      <c r="Q92" s="50"/>
      <c r="R92" s="50"/>
      <c r="S92" s="50"/>
      <c r="T92" s="50"/>
      <c r="U92" s="50"/>
      <c r="V92" s="50"/>
      <c r="W92" s="50"/>
      <c r="X92" s="50"/>
      <c r="Y92" s="50"/>
      <c r="Z92" s="50"/>
    </row>
    <row r="93" spans="1:26" ht="15.75" customHeight="1" x14ac:dyDescent="0.35">
      <c r="A93" s="50"/>
      <c r="B93" s="53" t="s">
        <v>150</v>
      </c>
      <c r="C93" s="116" t="s">
        <v>94</v>
      </c>
      <c r="D93" s="49">
        <f t="shared" ref="D93:F93" si="14">D17</f>
        <v>1000</v>
      </c>
      <c r="E93" s="49">
        <f t="shared" si="14"/>
        <v>1000</v>
      </c>
      <c r="F93" s="49">
        <f t="shared" si="14"/>
        <v>1000</v>
      </c>
      <c r="G93" s="49">
        <f t="shared" ref="G93:P93" si="15">F93*(1+$D$74)</f>
        <v>1010</v>
      </c>
      <c r="H93" s="49">
        <f t="shared" si="15"/>
        <v>1020.1</v>
      </c>
      <c r="I93" s="49">
        <f t="shared" si="15"/>
        <v>1030.3009999999999</v>
      </c>
      <c r="J93" s="49">
        <f t="shared" si="15"/>
        <v>1040.60401</v>
      </c>
      <c r="K93" s="49">
        <f t="shared" si="15"/>
        <v>1051.0100500999999</v>
      </c>
      <c r="L93" s="49">
        <f t="shared" si="15"/>
        <v>1061.5201506009998</v>
      </c>
      <c r="M93" s="49">
        <f t="shared" si="15"/>
        <v>1072.1353521070098</v>
      </c>
      <c r="N93" s="49">
        <f t="shared" si="15"/>
        <v>1082.8567056280799</v>
      </c>
      <c r="O93" s="49">
        <f t="shared" si="15"/>
        <v>1093.6852726843608</v>
      </c>
      <c r="P93" s="117">
        <f t="shared" si="15"/>
        <v>1104.6221254112045</v>
      </c>
      <c r="Q93" s="50"/>
      <c r="R93" s="50"/>
      <c r="S93" s="50"/>
      <c r="T93" s="50"/>
      <c r="U93" s="50"/>
      <c r="V93" s="50"/>
      <c r="W93" s="50"/>
      <c r="X93" s="50"/>
      <c r="Y93" s="50"/>
      <c r="Z93" s="50"/>
    </row>
    <row r="94" spans="1:26" ht="15.75" customHeight="1" x14ac:dyDescent="0.35">
      <c r="A94" s="50"/>
      <c r="B94" s="53" t="s">
        <v>151</v>
      </c>
      <c r="C94" s="116" t="s">
        <v>94</v>
      </c>
      <c r="D94" s="49">
        <f t="shared" ref="D94:F94" si="16">D18</f>
        <v>1000</v>
      </c>
      <c r="E94" s="49">
        <f t="shared" si="16"/>
        <v>1000</v>
      </c>
      <c r="F94" s="49">
        <f t="shared" si="16"/>
        <v>1000</v>
      </c>
      <c r="G94" s="49">
        <f t="shared" ref="G94:P94" si="17">F94*(1+$D$74)</f>
        <v>1010</v>
      </c>
      <c r="H94" s="49">
        <f t="shared" si="17"/>
        <v>1020.1</v>
      </c>
      <c r="I94" s="49">
        <f t="shared" si="17"/>
        <v>1030.3009999999999</v>
      </c>
      <c r="J94" s="49">
        <f t="shared" si="17"/>
        <v>1040.60401</v>
      </c>
      <c r="K94" s="49">
        <f t="shared" si="17"/>
        <v>1051.0100500999999</v>
      </c>
      <c r="L94" s="49">
        <f t="shared" si="17"/>
        <v>1061.5201506009998</v>
      </c>
      <c r="M94" s="49">
        <f t="shared" si="17"/>
        <v>1072.1353521070098</v>
      </c>
      <c r="N94" s="49">
        <f t="shared" si="17"/>
        <v>1082.8567056280799</v>
      </c>
      <c r="O94" s="49">
        <f t="shared" si="17"/>
        <v>1093.6852726843608</v>
      </c>
      <c r="P94" s="117">
        <f t="shared" si="17"/>
        <v>1104.6221254112045</v>
      </c>
      <c r="Q94" s="50"/>
      <c r="R94" s="50"/>
      <c r="S94" s="50"/>
      <c r="T94" s="50"/>
      <c r="U94" s="50"/>
      <c r="V94" s="50"/>
      <c r="W94" s="50"/>
      <c r="X94" s="50"/>
      <c r="Y94" s="50"/>
      <c r="Z94" s="50"/>
    </row>
    <row r="95" spans="1:26" ht="15.75" customHeight="1" x14ac:dyDescent="0.35">
      <c r="A95" s="50"/>
      <c r="B95" s="53" t="s">
        <v>152</v>
      </c>
      <c r="C95" s="116" t="s">
        <v>94</v>
      </c>
      <c r="D95" s="49">
        <f t="shared" ref="D95:F95" si="18">D19</f>
        <v>1000</v>
      </c>
      <c r="E95" s="49">
        <f t="shared" si="18"/>
        <v>1000</v>
      </c>
      <c r="F95" s="49">
        <f t="shared" si="18"/>
        <v>1000</v>
      </c>
      <c r="G95" s="49">
        <f t="shared" ref="G95:P95" si="19">F95*(1+$D$74)</f>
        <v>1010</v>
      </c>
      <c r="H95" s="49">
        <f t="shared" si="19"/>
        <v>1020.1</v>
      </c>
      <c r="I95" s="49">
        <f t="shared" si="19"/>
        <v>1030.3009999999999</v>
      </c>
      <c r="J95" s="49">
        <f t="shared" si="19"/>
        <v>1040.60401</v>
      </c>
      <c r="K95" s="49">
        <f t="shared" si="19"/>
        <v>1051.0100500999999</v>
      </c>
      <c r="L95" s="49">
        <f t="shared" si="19"/>
        <v>1061.5201506009998</v>
      </c>
      <c r="M95" s="49">
        <f t="shared" si="19"/>
        <v>1072.1353521070098</v>
      </c>
      <c r="N95" s="49">
        <f t="shared" si="19"/>
        <v>1082.8567056280799</v>
      </c>
      <c r="O95" s="49">
        <f t="shared" si="19"/>
        <v>1093.6852726843608</v>
      </c>
      <c r="P95" s="117">
        <f t="shared" si="19"/>
        <v>1104.6221254112045</v>
      </c>
      <c r="Q95" s="50"/>
      <c r="R95" s="50"/>
      <c r="S95" s="50"/>
      <c r="T95" s="50"/>
      <c r="U95" s="50"/>
      <c r="V95" s="50"/>
      <c r="W95" s="50"/>
      <c r="X95" s="50"/>
      <c r="Y95" s="50"/>
      <c r="Z95" s="50"/>
    </row>
    <row r="96" spans="1:26" ht="15.75" customHeight="1" x14ac:dyDescent="0.35">
      <c r="A96" s="50"/>
      <c r="B96" s="53" t="s">
        <v>153</v>
      </c>
      <c r="C96" s="116" t="s">
        <v>94</v>
      </c>
      <c r="D96" s="49">
        <f t="shared" ref="D96:F96" si="20">D20</f>
        <v>1000</v>
      </c>
      <c r="E96" s="49">
        <f t="shared" si="20"/>
        <v>1000</v>
      </c>
      <c r="F96" s="49">
        <f t="shared" si="20"/>
        <v>1000</v>
      </c>
      <c r="G96" s="49">
        <f t="shared" ref="G96:P96" si="21">F96*(1+$D$74)</f>
        <v>1010</v>
      </c>
      <c r="H96" s="49">
        <f t="shared" si="21"/>
        <v>1020.1</v>
      </c>
      <c r="I96" s="49">
        <f t="shared" si="21"/>
        <v>1030.3009999999999</v>
      </c>
      <c r="J96" s="49">
        <f t="shared" si="21"/>
        <v>1040.60401</v>
      </c>
      <c r="K96" s="49">
        <f t="shared" si="21"/>
        <v>1051.0100500999999</v>
      </c>
      <c r="L96" s="49">
        <f t="shared" si="21"/>
        <v>1061.5201506009998</v>
      </c>
      <c r="M96" s="49">
        <f t="shared" si="21"/>
        <v>1072.1353521070098</v>
      </c>
      <c r="N96" s="49">
        <f t="shared" si="21"/>
        <v>1082.8567056280799</v>
      </c>
      <c r="O96" s="49">
        <f t="shared" si="21"/>
        <v>1093.6852726843608</v>
      </c>
      <c r="P96" s="117">
        <f t="shared" si="21"/>
        <v>1104.6221254112045</v>
      </c>
      <c r="Q96" s="50"/>
      <c r="R96" s="50"/>
      <c r="S96" s="50"/>
      <c r="T96" s="50"/>
      <c r="U96" s="50"/>
      <c r="V96" s="50"/>
      <c r="W96" s="50"/>
      <c r="X96" s="50"/>
      <c r="Y96" s="50"/>
      <c r="Z96" s="50"/>
    </row>
    <row r="97" spans="1:26" ht="15.75" customHeight="1" x14ac:dyDescent="0.35">
      <c r="A97" s="50"/>
      <c r="B97" s="53" t="s">
        <v>154</v>
      </c>
      <c r="C97" s="116" t="s">
        <v>94</v>
      </c>
      <c r="D97" s="49">
        <f t="shared" ref="D97:F97" si="22">D21</f>
        <v>1000</v>
      </c>
      <c r="E97" s="49">
        <f t="shared" si="22"/>
        <v>1000</v>
      </c>
      <c r="F97" s="49">
        <f t="shared" si="22"/>
        <v>1000</v>
      </c>
      <c r="G97" s="49">
        <f t="shared" ref="G97:P97" si="23">F97*(1+$D$74)</f>
        <v>1010</v>
      </c>
      <c r="H97" s="49">
        <f t="shared" si="23"/>
        <v>1020.1</v>
      </c>
      <c r="I97" s="49">
        <f t="shared" si="23"/>
        <v>1030.3009999999999</v>
      </c>
      <c r="J97" s="49">
        <f t="shared" si="23"/>
        <v>1040.60401</v>
      </c>
      <c r="K97" s="49">
        <f t="shared" si="23"/>
        <v>1051.0100500999999</v>
      </c>
      <c r="L97" s="49">
        <f t="shared" si="23"/>
        <v>1061.5201506009998</v>
      </c>
      <c r="M97" s="49">
        <f t="shared" si="23"/>
        <v>1072.1353521070098</v>
      </c>
      <c r="N97" s="49">
        <f t="shared" si="23"/>
        <v>1082.8567056280799</v>
      </c>
      <c r="O97" s="49">
        <f t="shared" si="23"/>
        <v>1093.6852726843608</v>
      </c>
      <c r="P97" s="117">
        <f t="shared" si="23"/>
        <v>1104.6221254112045</v>
      </c>
      <c r="Q97" s="50"/>
      <c r="R97" s="50"/>
      <c r="S97" s="50"/>
      <c r="T97" s="50"/>
      <c r="U97" s="50"/>
      <c r="V97" s="50"/>
      <c r="W97" s="50"/>
      <c r="X97" s="50"/>
      <c r="Y97" s="50"/>
      <c r="Z97" s="50"/>
    </row>
    <row r="98" spans="1:26" ht="15.75" customHeight="1" x14ac:dyDescent="0.35">
      <c r="A98" s="50"/>
      <c r="B98" s="53" t="s">
        <v>155</v>
      </c>
      <c r="C98" s="116" t="s">
        <v>94</v>
      </c>
      <c r="D98" s="49">
        <f t="shared" ref="D98:F98" si="24">D22</f>
        <v>1000</v>
      </c>
      <c r="E98" s="49">
        <f t="shared" si="24"/>
        <v>1000</v>
      </c>
      <c r="F98" s="49">
        <f t="shared" si="24"/>
        <v>1000</v>
      </c>
      <c r="G98" s="49">
        <f t="shared" ref="G98:P98" si="25">F98*(1+$D$74)</f>
        <v>1010</v>
      </c>
      <c r="H98" s="49">
        <f t="shared" si="25"/>
        <v>1020.1</v>
      </c>
      <c r="I98" s="49">
        <f t="shared" si="25"/>
        <v>1030.3009999999999</v>
      </c>
      <c r="J98" s="49">
        <f t="shared" si="25"/>
        <v>1040.60401</v>
      </c>
      <c r="K98" s="49">
        <f t="shared" si="25"/>
        <v>1051.0100500999999</v>
      </c>
      <c r="L98" s="49">
        <f t="shared" si="25"/>
        <v>1061.5201506009998</v>
      </c>
      <c r="M98" s="49">
        <f t="shared" si="25"/>
        <v>1072.1353521070098</v>
      </c>
      <c r="N98" s="49">
        <f t="shared" si="25"/>
        <v>1082.8567056280799</v>
      </c>
      <c r="O98" s="49">
        <f t="shared" si="25"/>
        <v>1093.6852726843608</v>
      </c>
      <c r="P98" s="117">
        <f t="shared" si="25"/>
        <v>1104.6221254112045</v>
      </c>
      <c r="Q98" s="50"/>
      <c r="R98" s="50"/>
      <c r="S98" s="50"/>
      <c r="T98" s="50"/>
      <c r="U98" s="50"/>
      <c r="V98" s="50"/>
      <c r="W98" s="50"/>
      <c r="X98" s="50"/>
      <c r="Y98" s="50"/>
      <c r="Z98" s="50"/>
    </row>
    <row r="99" spans="1:26" ht="15.75" customHeight="1" x14ac:dyDescent="0.35">
      <c r="A99" s="50"/>
      <c r="B99" s="53" t="s">
        <v>156</v>
      </c>
      <c r="C99" s="116" t="s">
        <v>94</v>
      </c>
      <c r="D99" s="49">
        <f t="shared" ref="D99:F99" si="26">D23</f>
        <v>1000</v>
      </c>
      <c r="E99" s="49">
        <f t="shared" si="26"/>
        <v>1000</v>
      </c>
      <c r="F99" s="49">
        <f t="shared" si="26"/>
        <v>1000</v>
      </c>
      <c r="G99" s="49">
        <f t="shared" ref="G99:P99" si="27">F99*(1+$D$74)</f>
        <v>1010</v>
      </c>
      <c r="H99" s="49">
        <f t="shared" si="27"/>
        <v>1020.1</v>
      </c>
      <c r="I99" s="49">
        <f t="shared" si="27"/>
        <v>1030.3009999999999</v>
      </c>
      <c r="J99" s="49">
        <f t="shared" si="27"/>
        <v>1040.60401</v>
      </c>
      <c r="K99" s="49">
        <f t="shared" si="27"/>
        <v>1051.0100500999999</v>
      </c>
      <c r="L99" s="49">
        <f t="shared" si="27"/>
        <v>1061.5201506009998</v>
      </c>
      <c r="M99" s="49">
        <f t="shared" si="27"/>
        <v>1072.1353521070098</v>
      </c>
      <c r="N99" s="49">
        <f t="shared" si="27"/>
        <v>1082.8567056280799</v>
      </c>
      <c r="O99" s="49">
        <f t="shared" si="27"/>
        <v>1093.6852726843608</v>
      </c>
      <c r="P99" s="117">
        <f t="shared" si="27"/>
        <v>1104.6221254112045</v>
      </c>
      <c r="Q99" s="50"/>
      <c r="R99" s="50"/>
      <c r="S99" s="50"/>
      <c r="T99" s="50"/>
      <c r="U99" s="50"/>
      <c r="V99" s="50"/>
      <c r="W99" s="50"/>
      <c r="X99" s="50"/>
      <c r="Y99" s="50"/>
      <c r="Z99" s="50"/>
    </row>
    <row r="100" spans="1:26" ht="15.75" customHeight="1" x14ac:dyDescent="0.35">
      <c r="A100" s="50"/>
      <c r="B100" s="161" t="s">
        <v>157</v>
      </c>
      <c r="C100" s="116" t="s">
        <v>94</v>
      </c>
      <c r="D100" s="49">
        <f t="shared" ref="D100:F100" si="28">D24</f>
        <v>1000</v>
      </c>
      <c r="E100" s="49">
        <f t="shared" si="28"/>
        <v>1000</v>
      </c>
      <c r="F100" s="49">
        <f t="shared" si="28"/>
        <v>1000</v>
      </c>
      <c r="G100" s="49">
        <f t="shared" ref="G100:P100" si="29">F100*(1+$D$74)</f>
        <v>1010</v>
      </c>
      <c r="H100" s="49">
        <f t="shared" si="29"/>
        <v>1020.1</v>
      </c>
      <c r="I100" s="49">
        <f t="shared" si="29"/>
        <v>1030.3009999999999</v>
      </c>
      <c r="J100" s="49">
        <f t="shared" si="29"/>
        <v>1040.60401</v>
      </c>
      <c r="K100" s="49">
        <f t="shared" si="29"/>
        <v>1051.0100500999999</v>
      </c>
      <c r="L100" s="49">
        <f t="shared" si="29"/>
        <v>1061.5201506009998</v>
      </c>
      <c r="M100" s="49">
        <f t="shared" si="29"/>
        <v>1072.1353521070098</v>
      </c>
      <c r="N100" s="49">
        <f t="shared" si="29"/>
        <v>1082.8567056280799</v>
      </c>
      <c r="O100" s="49">
        <f t="shared" si="29"/>
        <v>1093.6852726843608</v>
      </c>
      <c r="P100" s="117">
        <f t="shared" si="29"/>
        <v>1104.6221254112045</v>
      </c>
      <c r="Q100" s="50"/>
      <c r="R100" s="50"/>
      <c r="S100" s="50"/>
      <c r="T100" s="50"/>
      <c r="U100" s="50"/>
      <c r="V100" s="50"/>
      <c r="W100" s="50"/>
      <c r="X100" s="50"/>
      <c r="Y100" s="50"/>
      <c r="Z100" s="50"/>
    </row>
    <row r="101" spans="1:26" ht="15.75" customHeight="1" x14ac:dyDescent="0.35">
      <c r="A101" s="50"/>
      <c r="B101" s="53" t="s">
        <v>158</v>
      </c>
      <c r="C101" s="116" t="s">
        <v>94</v>
      </c>
      <c r="D101" s="49">
        <f t="shared" ref="D101:F101" si="30">D25</f>
        <v>1000</v>
      </c>
      <c r="E101" s="49">
        <f t="shared" si="30"/>
        <v>1000</v>
      </c>
      <c r="F101" s="49">
        <f t="shared" si="30"/>
        <v>1000</v>
      </c>
      <c r="G101" s="49">
        <f t="shared" ref="G101:P101" si="31">F101*(1+$D$74)</f>
        <v>1010</v>
      </c>
      <c r="H101" s="49">
        <f t="shared" si="31"/>
        <v>1020.1</v>
      </c>
      <c r="I101" s="49">
        <f t="shared" si="31"/>
        <v>1030.3009999999999</v>
      </c>
      <c r="J101" s="49">
        <f t="shared" si="31"/>
        <v>1040.60401</v>
      </c>
      <c r="K101" s="49">
        <f t="shared" si="31"/>
        <v>1051.0100500999999</v>
      </c>
      <c r="L101" s="49">
        <f t="shared" si="31"/>
        <v>1061.5201506009998</v>
      </c>
      <c r="M101" s="49">
        <f t="shared" si="31"/>
        <v>1072.1353521070098</v>
      </c>
      <c r="N101" s="49">
        <f t="shared" si="31"/>
        <v>1082.8567056280799</v>
      </c>
      <c r="O101" s="49">
        <f t="shared" si="31"/>
        <v>1093.6852726843608</v>
      </c>
      <c r="P101" s="117">
        <f t="shared" si="31"/>
        <v>1104.6221254112045</v>
      </c>
      <c r="Q101" s="50"/>
      <c r="R101" s="50"/>
      <c r="S101" s="50"/>
      <c r="T101" s="50"/>
      <c r="U101" s="50"/>
      <c r="V101" s="50"/>
      <c r="W101" s="50"/>
      <c r="X101" s="50"/>
      <c r="Y101" s="50"/>
      <c r="Z101" s="50"/>
    </row>
    <row r="102" spans="1:26" ht="15.75" customHeight="1" x14ac:dyDescent="0.35">
      <c r="A102" s="32"/>
      <c r="B102" s="58" t="s">
        <v>65</v>
      </c>
      <c r="C102" s="116" t="s">
        <v>94</v>
      </c>
      <c r="D102" s="118">
        <f t="shared" ref="D102:P102" si="32">SUM(D88:D101)</f>
        <v>14000</v>
      </c>
      <c r="E102" s="118">
        <f t="shared" si="32"/>
        <v>14000</v>
      </c>
      <c r="F102" s="118">
        <f t="shared" si="32"/>
        <v>14000</v>
      </c>
      <c r="G102" s="118">
        <f t="shared" si="32"/>
        <v>14140</v>
      </c>
      <c r="H102" s="118">
        <f t="shared" si="32"/>
        <v>14281.400000000003</v>
      </c>
      <c r="I102" s="118">
        <f t="shared" si="32"/>
        <v>14424.213999999994</v>
      </c>
      <c r="J102" s="118">
        <f t="shared" si="32"/>
        <v>14568.456139999995</v>
      </c>
      <c r="K102" s="118">
        <f t="shared" si="32"/>
        <v>14714.140701399998</v>
      </c>
      <c r="L102" s="118">
        <f t="shared" si="32"/>
        <v>14861.282108413998</v>
      </c>
      <c r="M102" s="118">
        <f t="shared" si="32"/>
        <v>15009.894929498141</v>
      </c>
      <c r="N102" s="118">
        <f t="shared" si="32"/>
        <v>15159.993878793124</v>
      </c>
      <c r="O102" s="118">
        <f t="shared" si="32"/>
        <v>15311.593817581052</v>
      </c>
      <c r="P102" s="118">
        <f t="shared" si="32"/>
        <v>15464.709755756861</v>
      </c>
      <c r="Q102" s="32"/>
      <c r="R102" s="32"/>
      <c r="S102" s="32"/>
      <c r="T102" s="32"/>
      <c r="U102" s="32"/>
      <c r="V102" s="32"/>
      <c r="W102" s="32"/>
      <c r="X102" s="32"/>
      <c r="Y102" s="32"/>
      <c r="Z102" s="32"/>
    </row>
    <row r="103" spans="1:26" ht="15.75" customHeight="1" x14ac:dyDescent="0.35">
      <c r="A103" s="50"/>
      <c r="B103" s="62" t="s">
        <v>132</v>
      </c>
      <c r="C103" s="50"/>
      <c r="D103" s="120"/>
      <c r="E103" s="50"/>
      <c r="F103" s="50"/>
      <c r="G103" s="50"/>
      <c r="H103" s="50"/>
      <c r="I103" s="50"/>
      <c r="J103" s="50"/>
      <c r="K103" s="50"/>
      <c r="L103" s="50"/>
      <c r="M103" s="50"/>
      <c r="N103" s="50"/>
      <c r="O103" s="50"/>
      <c r="P103" s="115"/>
      <c r="Q103" s="50"/>
      <c r="R103" s="50"/>
      <c r="S103" s="50"/>
      <c r="T103" s="50"/>
      <c r="U103" s="50"/>
      <c r="V103" s="50"/>
      <c r="W103" s="50"/>
      <c r="X103" s="50"/>
      <c r="Y103" s="50"/>
      <c r="Z103" s="50"/>
    </row>
    <row r="104" spans="1:26" ht="15.75" customHeight="1" x14ac:dyDescent="0.35">
      <c r="A104" s="50"/>
      <c r="B104" s="53" t="s">
        <v>145</v>
      </c>
      <c r="C104" s="50"/>
      <c r="D104" s="64">
        <f t="shared" ref="D104:F104" si="33">D44</f>
        <v>100</v>
      </c>
      <c r="E104" s="64">
        <f t="shared" si="33"/>
        <v>100</v>
      </c>
      <c r="F104" s="64">
        <f t="shared" si="33"/>
        <v>100</v>
      </c>
      <c r="G104" s="162">
        <f t="shared" ref="G104:P104" si="34">IFERROR(F104*(1+$D$75),"")</f>
        <v>101</v>
      </c>
      <c r="H104" s="162">
        <f t="shared" si="34"/>
        <v>102.01</v>
      </c>
      <c r="I104" s="162">
        <f t="shared" si="34"/>
        <v>103.0301</v>
      </c>
      <c r="J104" s="162">
        <f t="shared" si="34"/>
        <v>104.060401</v>
      </c>
      <c r="K104" s="162">
        <f t="shared" si="34"/>
        <v>105.10100500999999</v>
      </c>
      <c r="L104" s="162">
        <f t="shared" si="34"/>
        <v>106.1520150601</v>
      </c>
      <c r="M104" s="162">
        <f t="shared" si="34"/>
        <v>107.213535210701</v>
      </c>
      <c r="N104" s="162">
        <f t="shared" si="34"/>
        <v>108.28567056280801</v>
      </c>
      <c r="O104" s="162">
        <f t="shared" si="34"/>
        <v>109.36852726843608</v>
      </c>
      <c r="P104" s="162">
        <f t="shared" si="34"/>
        <v>110.46221254112045</v>
      </c>
      <c r="Q104" s="50"/>
      <c r="R104" s="50"/>
      <c r="S104" s="50"/>
      <c r="T104" s="50"/>
      <c r="U104" s="50"/>
      <c r="V104" s="50"/>
      <c r="W104" s="50"/>
      <c r="X104" s="50"/>
      <c r="Y104" s="50"/>
      <c r="Z104" s="50"/>
    </row>
    <row r="105" spans="1:26" ht="15.75" customHeight="1" x14ac:dyDescent="0.35">
      <c r="A105" s="50"/>
      <c r="B105" s="53" t="s">
        <v>146</v>
      </c>
      <c r="C105" s="50"/>
      <c r="D105" s="64">
        <f t="shared" ref="D105:F105" si="35">D45</f>
        <v>100</v>
      </c>
      <c r="E105" s="64">
        <f t="shared" si="35"/>
        <v>100</v>
      </c>
      <c r="F105" s="64">
        <f t="shared" si="35"/>
        <v>100</v>
      </c>
      <c r="G105" s="162">
        <f t="shared" ref="G105:P105" si="36">IFERROR(F105*(1+$D$75),"")</f>
        <v>101</v>
      </c>
      <c r="H105" s="162">
        <f t="shared" si="36"/>
        <v>102.01</v>
      </c>
      <c r="I105" s="162">
        <f t="shared" si="36"/>
        <v>103.0301</v>
      </c>
      <c r="J105" s="162">
        <f t="shared" si="36"/>
        <v>104.060401</v>
      </c>
      <c r="K105" s="162">
        <f t="shared" si="36"/>
        <v>105.10100500999999</v>
      </c>
      <c r="L105" s="162">
        <f t="shared" si="36"/>
        <v>106.1520150601</v>
      </c>
      <c r="M105" s="162">
        <f t="shared" si="36"/>
        <v>107.213535210701</v>
      </c>
      <c r="N105" s="162">
        <f t="shared" si="36"/>
        <v>108.28567056280801</v>
      </c>
      <c r="O105" s="162">
        <f t="shared" si="36"/>
        <v>109.36852726843608</v>
      </c>
      <c r="P105" s="162">
        <f t="shared" si="36"/>
        <v>110.46221254112045</v>
      </c>
      <c r="Q105" s="50"/>
      <c r="R105" s="50"/>
      <c r="S105" s="50"/>
      <c r="T105" s="50"/>
      <c r="U105" s="50"/>
      <c r="V105" s="50"/>
      <c r="W105" s="50"/>
      <c r="X105" s="50"/>
      <c r="Y105" s="50"/>
      <c r="Z105" s="50"/>
    </row>
    <row r="106" spans="1:26" ht="15.75" customHeight="1" x14ac:dyDescent="0.35">
      <c r="A106" s="50"/>
      <c r="B106" s="53" t="s">
        <v>147</v>
      </c>
      <c r="C106" s="50"/>
      <c r="D106" s="64">
        <f t="shared" ref="D106:F106" si="37">D46</f>
        <v>100</v>
      </c>
      <c r="E106" s="64">
        <f t="shared" si="37"/>
        <v>100</v>
      </c>
      <c r="F106" s="64">
        <f t="shared" si="37"/>
        <v>100</v>
      </c>
      <c r="G106" s="162">
        <f t="shared" ref="G106:P106" si="38">IFERROR(F106*(1+$D$75),"")</f>
        <v>101</v>
      </c>
      <c r="H106" s="162">
        <f t="shared" si="38"/>
        <v>102.01</v>
      </c>
      <c r="I106" s="162">
        <f t="shared" si="38"/>
        <v>103.0301</v>
      </c>
      <c r="J106" s="162">
        <f t="shared" si="38"/>
        <v>104.060401</v>
      </c>
      <c r="K106" s="162">
        <f t="shared" si="38"/>
        <v>105.10100500999999</v>
      </c>
      <c r="L106" s="162">
        <f t="shared" si="38"/>
        <v>106.1520150601</v>
      </c>
      <c r="M106" s="162">
        <f t="shared" si="38"/>
        <v>107.213535210701</v>
      </c>
      <c r="N106" s="162">
        <f t="shared" si="38"/>
        <v>108.28567056280801</v>
      </c>
      <c r="O106" s="162">
        <f t="shared" si="38"/>
        <v>109.36852726843608</v>
      </c>
      <c r="P106" s="162">
        <f t="shared" si="38"/>
        <v>110.46221254112045</v>
      </c>
      <c r="Q106" s="50"/>
      <c r="R106" s="50"/>
      <c r="S106" s="50"/>
      <c r="T106" s="50"/>
      <c r="U106" s="50"/>
      <c r="V106" s="50"/>
      <c r="W106" s="50"/>
      <c r="X106" s="50"/>
      <c r="Y106" s="50"/>
      <c r="Z106" s="50"/>
    </row>
    <row r="107" spans="1:26" ht="15.75" customHeight="1" x14ac:dyDescent="0.35">
      <c r="A107" s="50"/>
      <c r="B107" s="53" t="s">
        <v>148</v>
      </c>
      <c r="C107" s="50"/>
      <c r="D107" s="64">
        <f t="shared" ref="D107:F107" si="39">D47</f>
        <v>100</v>
      </c>
      <c r="E107" s="64">
        <f t="shared" si="39"/>
        <v>100</v>
      </c>
      <c r="F107" s="64">
        <f t="shared" si="39"/>
        <v>100</v>
      </c>
      <c r="G107" s="162">
        <f t="shared" ref="G107:P107" si="40">IFERROR(F107*(1+$D$75),"")</f>
        <v>101</v>
      </c>
      <c r="H107" s="162">
        <f t="shared" si="40"/>
        <v>102.01</v>
      </c>
      <c r="I107" s="162">
        <f t="shared" si="40"/>
        <v>103.0301</v>
      </c>
      <c r="J107" s="162">
        <f t="shared" si="40"/>
        <v>104.060401</v>
      </c>
      <c r="K107" s="162">
        <f t="shared" si="40"/>
        <v>105.10100500999999</v>
      </c>
      <c r="L107" s="162">
        <f t="shared" si="40"/>
        <v>106.1520150601</v>
      </c>
      <c r="M107" s="162">
        <f t="shared" si="40"/>
        <v>107.213535210701</v>
      </c>
      <c r="N107" s="162">
        <f t="shared" si="40"/>
        <v>108.28567056280801</v>
      </c>
      <c r="O107" s="162">
        <f t="shared" si="40"/>
        <v>109.36852726843608</v>
      </c>
      <c r="P107" s="162">
        <f t="shared" si="40"/>
        <v>110.46221254112045</v>
      </c>
      <c r="Q107" s="50"/>
      <c r="R107" s="50"/>
      <c r="S107" s="50"/>
      <c r="T107" s="50"/>
      <c r="U107" s="50"/>
      <c r="V107" s="50"/>
      <c r="W107" s="50"/>
      <c r="X107" s="50"/>
      <c r="Y107" s="50"/>
      <c r="Z107" s="50"/>
    </row>
    <row r="108" spans="1:26" ht="15.75" customHeight="1" x14ac:dyDescent="0.35">
      <c r="A108" s="50"/>
      <c r="B108" s="53" t="s">
        <v>149</v>
      </c>
      <c r="C108" s="50"/>
      <c r="D108" s="64">
        <f t="shared" ref="D108:F108" si="41">D48</f>
        <v>100</v>
      </c>
      <c r="E108" s="64">
        <f t="shared" si="41"/>
        <v>100</v>
      </c>
      <c r="F108" s="64">
        <f t="shared" si="41"/>
        <v>100</v>
      </c>
      <c r="G108" s="162">
        <f t="shared" ref="G108:P108" si="42">IFERROR(F108*(1+$D$75),"")</f>
        <v>101</v>
      </c>
      <c r="H108" s="162">
        <f t="shared" si="42"/>
        <v>102.01</v>
      </c>
      <c r="I108" s="162">
        <f t="shared" si="42"/>
        <v>103.0301</v>
      </c>
      <c r="J108" s="126">
        <f t="shared" si="42"/>
        <v>104.060401</v>
      </c>
      <c r="K108" s="126">
        <f t="shared" si="42"/>
        <v>105.10100500999999</v>
      </c>
      <c r="L108" s="126">
        <f t="shared" si="42"/>
        <v>106.1520150601</v>
      </c>
      <c r="M108" s="126">
        <f t="shared" si="42"/>
        <v>107.213535210701</v>
      </c>
      <c r="N108" s="126">
        <f t="shared" si="42"/>
        <v>108.28567056280801</v>
      </c>
      <c r="O108" s="126">
        <f t="shared" si="42"/>
        <v>109.36852726843608</v>
      </c>
      <c r="P108" s="127">
        <f t="shared" si="42"/>
        <v>110.46221254112045</v>
      </c>
      <c r="Q108" s="50"/>
      <c r="R108" s="50"/>
      <c r="S108" s="50"/>
      <c r="T108" s="50"/>
      <c r="U108" s="50"/>
      <c r="V108" s="50"/>
      <c r="W108" s="50"/>
      <c r="X108" s="50"/>
      <c r="Y108" s="50"/>
      <c r="Z108" s="50"/>
    </row>
    <row r="109" spans="1:26" ht="15.75" customHeight="1" x14ac:dyDescent="0.35">
      <c r="A109" s="50"/>
      <c r="B109" s="53" t="s">
        <v>150</v>
      </c>
      <c r="C109" s="50"/>
      <c r="D109" s="64">
        <f t="shared" ref="D109:F109" si="43">D49</f>
        <v>100</v>
      </c>
      <c r="E109" s="64">
        <f t="shared" si="43"/>
        <v>100</v>
      </c>
      <c r="F109" s="64">
        <f t="shared" si="43"/>
        <v>100</v>
      </c>
      <c r="G109" s="162">
        <f t="shared" ref="G109:P109" si="44">IFERROR(F109*(1+$D$75),"")</f>
        <v>101</v>
      </c>
      <c r="H109" s="162">
        <f t="shared" si="44"/>
        <v>102.01</v>
      </c>
      <c r="I109" s="162">
        <f t="shared" si="44"/>
        <v>103.0301</v>
      </c>
      <c r="J109" s="126">
        <f t="shared" si="44"/>
        <v>104.060401</v>
      </c>
      <c r="K109" s="126">
        <f t="shared" si="44"/>
        <v>105.10100500999999</v>
      </c>
      <c r="L109" s="126">
        <f t="shared" si="44"/>
        <v>106.1520150601</v>
      </c>
      <c r="M109" s="126">
        <f t="shared" si="44"/>
        <v>107.213535210701</v>
      </c>
      <c r="N109" s="126">
        <f t="shared" si="44"/>
        <v>108.28567056280801</v>
      </c>
      <c r="O109" s="126">
        <f t="shared" si="44"/>
        <v>109.36852726843608</v>
      </c>
      <c r="P109" s="127">
        <f t="shared" si="44"/>
        <v>110.46221254112045</v>
      </c>
      <c r="Q109" s="50"/>
      <c r="R109" s="50"/>
      <c r="S109" s="50"/>
      <c r="T109" s="50"/>
      <c r="U109" s="50"/>
      <c r="V109" s="50"/>
      <c r="W109" s="50"/>
      <c r="X109" s="50"/>
      <c r="Y109" s="50"/>
      <c r="Z109" s="50"/>
    </row>
    <row r="110" spans="1:26" ht="15.75" customHeight="1" x14ac:dyDescent="0.35">
      <c r="A110" s="50"/>
      <c r="B110" s="53" t="s">
        <v>151</v>
      </c>
      <c r="C110" s="50"/>
      <c r="D110" s="64">
        <f t="shared" ref="D110:F110" si="45">D50</f>
        <v>100</v>
      </c>
      <c r="E110" s="64">
        <f t="shared" si="45"/>
        <v>100</v>
      </c>
      <c r="F110" s="64">
        <f t="shared" si="45"/>
        <v>100</v>
      </c>
      <c r="G110" s="162">
        <f t="shared" ref="G110:P110" si="46">IFERROR(F110*(1+$D$75),"")</f>
        <v>101</v>
      </c>
      <c r="H110" s="162">
        <f t="shared" si="46"/>
        <v>102.01</v>
      </c>
      <c r="I110" s="162">
        <f t="shared" si="46"/>
        <v>103.0301</v>
      </c>
      <c r="J110" s="126">
        <f t="shared" si="46"/>
        <v>104.060401</v>
      </c>
      <c r="K110" s="126">
        <f t="shared" si="46"/>
        <v>105.10100500999999</v>
      </c>
      <c r="L110" s="126">
        <f t="shared" si="46"/>
        <v>106.1520150601</v>
      </c>
      <c r="M110" s="126">
        <f t="shared" si="46"/>
        <v>107.213535210701</v>
      </c>
      <c r="N110" s="126">
        <f t="shared" si="46"/>
        <v>108.28567056280801</v>
      </c>
      <c r="O110" s="126">
        <f t="shared" si="46"/>
        <v>109.36852726843608</v>
      </c>
      <c r="P110" s="127">
        <f t="shared" si="46"/>
        <v>110.46221254112045</v>
      </c>
      <c r="Q110" s="50"/>
      <c r="R110" s="50"/>
      <c r="S110" s="50"/>
      <c r="T110" s="50"/>
      <c r="U110" s="50"/>
      <c r="V110" s="50"/>
      <c r="W110" s="50"/>
      <c r="X110" s="50"/>
      <c r="Y110" s="50"/>
      <c r="Z110" s="50"/>
    </row>
    <row r="111" spans="1:26" ht="15.75" customHeight="1" x14ac:dyDescent="0.35">
      <c r="A111" s="50"/>
      <c r="B111" s="53" t="s">
        <v>152</v>
      </c>
      <c r="C111" s="50"/>
      <c r="D111" s="64">
        <f t="shared" ref="D111:F111" si="47">D51</f>
        <v>100</v>
      </c>
      <c r="E111" s="64">
        <f t="shared" si="47"/>
        <v>100</v>
      </c>
      <c r="F111" s="64">
        <f t="shared" si="47"/>
        <v>100</v>
      </c>
      <c r="G111" s="162">
        <f t="shared" ref="G111:P111" si="48">IFERROR(F111*(1+$D$75),"")</f>
        <v>101</v>
      </c>
      <c r="H111" s="162">
        <f t="shared" si="48"/>
        <v>102.01</v>
      </c>
      <c r="I111" s="162">
        <f t="shared" si="48"/>
        <v>103.0301</v>
      </c>
      <c r="J111" s="126">
        <f t="shared" si="48"/>
        <v>104.060401</v>
      </c>
      <c r="K111" s="126">
        <f t="shared" si="48"/>
        <v>105.10100500999999</v>
      </c>
      <c r="L111" s="126">
        <f t="shared" si="48"/>
        <v>106.1520150601</v>
      </c>
      <c r="M111" s="126">
        <f t="shared" si="48"/>
        <v>107.213535210701</v>
      </c>
      <c r="N111" s="126">
        <f t="shared" si="48"/>
        <v>108.28567056280801</v>
      </c>
      <c r="O111" s="126">
        <f t="shared" si="48"/>
        <v>109.36852726843608</v>
      </c>
      <c r="P111" s="127">
        <f t="shared" si="48"/>
        <v>110.46221254112045</v>
      </c>
      <c r="Q111" s="50"/>
      <c r="R111" s="50"/>
      <c r="S111" s="50"/>
      <c r="T111" s="50"/>
      <c r="U111" s="50"/>
      <c r="V111" s="50"/>
      <c r="W111" s="50"/>
      <c r="X111" s="50"/>
      <c r="Y111" s="50"/>
      <c r="Z111" s="50"/>
    </row>
    <row r="112" spans="1:26" ht="15.75" customHeight="1" x14ac:dyDescent="0.35">
      <c r="A112" s="50"/>
      <c r="B112" s="53" t="s">
        <v>153</v>
      </c>
      <c r="C112" s="50"/>
      <c r="D112" s="64">
        <f t="shared" ref="D112:F112" si="49">D52</f>
        <v>100</v>
      </c>
      <c r="E112" s="64">
        <f t="shared" si="49"/>
        <v>100</v>
      </c>
      <c r="F112" s="64">
        <f t="shared" si="49"/>
        <v>100</v>
      </c>
      <c r="G112" s="162">
        <f t="shared" ref="G112:P112" si="50">IFERROR(F112*(1+$D$75),"")</f>
        <v>101</v>
      </c>
      <c r="H112" s="162">
        <f t="shared" si="50"/>
        <v>102.01</v>
      </c>
      <c r="I112" s="162">
        <f t="shared" si="50"/>
        <v>103.0301</v>
      </c>
      <c r="J112" s="126">
        <f t="shared" si="50"/>
        <v>104.060401</v>
      </c>
      <c r="K112" s="126">
        <f t="shared" si="50"/>
        <v>105.10100500999999</v>
      </c>
      <c r="L112" s="126">
        <f t="shared" si="50"/>
        <v>106.1520150601</v>
      </c>
      <c r="M112" s="126">
        <f t="shared" si="50"/>
        <v>107.213535210701</v>
      </c>
      <c r="N112" s="126">
        <f t="shared" si="50"/>
        <v>108.28567056280801</v>
      </c>
      <c r="O112" s="126">
        <f t="shared" si="50"/>
        <v>109.36852726843608</v>
      </c>
      <c r="P112" s="127">
        <f t="shared" si="50"/>
        <v>110.46221254112045</v>
      </c>
      <c r="Q112" s="50"/>
      <c r="R112" s="50"/>
      <c r="S112" s="50"/>
      <c r="T112" s="50"/>
      <c r="U112" s="50"/>
      <c r="V112" s="50"/>
      <c r="W112" s="50"/>
      <c r="X112" s="50"/>
      <c r="Y112" s="50"/>
      <c r="Z112" s="50"/>
    </row>
    <row r="113" spans="1:26" ht="15.75" customHeight="1" x14ac:dyDescent="0.35">
      <c r="A113" s="50"/>
      <c r="B113" s="53" t="s">
        <v>154</v>
      </c>
      <c r="C113" s="50"/>
      <c r="D113" s="64">
        <f t="shared" ref="D113:F113" si="51">D53</f>
        <v>100</v>
      </c>
      <c r="E113" s="64">
        <f t="shared" si="51"/>
        <v>100</v>
      </c>
      <c r="F113" s="64">
        <f t="shared" si="51"/>
        <v>100</v>
      </c>
      <c r="G113" s="162">
        <f t="shared" ref="G113:P113" si="52">IFERROR(F113*(1+$D$75),"")</f>
        <v>101</v>
      </c>
      <c r="H113" s="162">
        <f t="shared" si="52"/>
        <v>102.01</v>
      </c>
      <c r="I113" s="162">
        <f t="shared" si="52"/>
        <v>103.0301</v>
      </c>
      <c r="J113" s="126">
        <f t="shared" si="52"/>
        <v>104.060401</v>
      </c>
      <c r="K113" s="126">
        <f t="shared" si="52"/>
        <v>105.10100500999999</v>
      </c>
      <c r="L113" s="126">
        <f t="shared" si="52"/>
        <v>106.1520150601</v>
      </c>
      <c r="M113" s="126">
        <f t="shared" si="52"/>
        <v>107.213535210701</v>
      </c>
      <c r="N113" s="126">
        <f t="shared" si="52"/>
        <v>108.28567056280801</v>
      </c>
      <c r="O113" s="126">
        <f t="shared" si="52"/>
        <v>109.36852726843608</v>
      </c>
      <c r="P113" s="127">
        <f t="shared" si="52"/>
        <v>110.46221254112045</v>
      </c>
      <c r="Q113" s="50"/>
      <c r="R113" s="50"/>
      <c r="S113" s="50"/>
      <c r="T113" s="50"/>
      <c r="U113" s="50"/>
      <c r="V113" s="50"/>
      <c r="W113" s="50"/>
      <c r="X113" s="50"/>
      <c r="Y113" s="50"/>
      <c r="Z113" s="50"/>
    </row>
    <row r="114" spans="1:26" ht="15.75" customHeight="1" x14ac:dyDescent="0.35">
      <c r="A114" s="50"/>
      <c r="B114" s="53" t="s">
        <v>155</v>
      </c>
      <c r="C114" s="50"/>
      <c r="D114" s="64">
        <f t="shared" ref="D114:F114" si="53">D54</f>
        <v>100</v>
      </c>
      <c r="E114" s="64">
        <f t="shared" si="53"/>
        <v>100</v>
      </c>
      <c r="F114" s="64">
        <f t="shared" si="53"/>
        <v>100</v>
      </c>
      <c r="G114" s="162">
        <f t="shared" ref="G114:P114" si="54">IFERROR(F114*(1+$D$75),"")</f>
        <v>101</v>
      </c>
      <c r="H114" s="162">
        <f t="shared" si="54"/>
        <v>102.01</v>
      </c>
      <c r="I114" s="162">
        <f t="shared" si="54"/>
        <v>103.0301</v>
      </c>
      <c r="J114" s="126">
        <f t="shared" si="54"/>
        <v>104.060401</v>
      </c>
      <c r="K114" s="126">
        <f t="shared" si="54"/>
        <v>105.10100500999999</v>
      </c>
      <c r="L114" s="126">
        <f t="shared" si="54"/>
        <v>106.1520150601</v>
      </c>
      <c r="M114" s="126">
        <f t="shared" si="54"/>
        <v>107.213535210701</v>
      </c>
      <c r="N114" s="126">
        <f t="shared" si="54"/>
        <v>108.28567056280801</v>
      </c>
      <c r="O114" s="126">
        <f t="shared" si="54"/>
        <v>109.36852726843608</v>
      </c>
      <c r="P114" s="127">
        <f t="shared" si="54"/>
        <v>110.46221254112045</v>
      </c>
      <c r="Q114" s="50"/>
      <c r="R114" s="50"/>
      <c r="S114" s="50"/>
      <c r="T114" s="50"/>
      <c r="U114" s="50"/>
      <c r="V114" s="50"/>
      <c r="W114" s="50"/>
      <c r="X114" s="50"/>
      <c r="Y114" s="50"/>
      <c r="Z114" s="50"/>
    </row>
    <row r="115" spans="1:26" ht="15.75" customHeight="1" x14ac:dyDescent="0.35">
      <c r="A115" s="50"/>
      <c r="B115" s="53" t="s">
        <v>156</v>
      </c>
      <c r="C115" s="54"/>
      <c r="D115" s="64">
        <f t="shared" ref="D115:F115" si="55">D55</f>
        <v>100</v>
      </c>
      <c r="E115" s="64">
        <f t="shared" si="55"/>
        <v>100</v>
      </c>
      <c r="F115" s="64">
        <f t="shared" si="55"/>
        <v>100</v>
      </c>
      <c r="G115" s="162">
        <f t="shared" ref="G115:P115" si="56">IFERROR(F115*(1+$D$75),"")</f>
        <v>101</v>
      </c>
      <c r="H115" s="162">
        <f t="shared" si="56"/>
        <v>102.01</v>
      </c>
      <c r="I115" s="162">
        <f t="shared" si="56"/>
        <v>103.0301</v>
      </c>
      <c r="J115" s="126">
        <f t="shared" si="56"/>
        <v>104.060401</v>
      </c>
      <c r="K115" s="126">
        <f t="shared" si="56"/>
        <v>105.10100500999999</v>
      </c>
      <c r="L115" s="126">
        <f t="shared" si="56"/>
        <v>106.1520150601</v>
      </c>
      <c r="M115" s="126">
        <f t="shared" si="56"/>
        <v>107.213535210701</v>
      </c>
      <c r="N115" s="126">
        <f t="shared" si="56"/>
        <v>108.28567056280801</v>
      </c>
      <c r="O115" s="126">
        <f t="shared" si="56"/>
        <v>109.36852726843608</v>
      </c>
      <c r="P115" s="127">
        <f t="shared" si="56"/>
        <v>110.46221254112045</v>
      </c>
      <c r="Q115" s="50"/>
      <c r="R115" s="50"/>
      <c r="S115" s="50"/>
      <c r="T115" s="50"/>
      <c r="U115" s="50"/>
      <c r="V115" s="50"/>
      <c r="W115" s="50"/>
      <c r="X115" s="50"/>
      <c r="Y115" s="50"/>
      <c r="Z115" s="50"/>
    </row>
    <row r="116" spans="1:26" ht="15.75" customHeight="1" x14ac:dyDescent="0.35">
      <c r="A116" s="50"/>
      <c r="B116" s="161" t="s">
        <v>157</v>
      </c>
      <c r="C116" s="54"/>
      <c r="D116" s="64">
        <f t="shared" ref="D116:F116" si="57">D56</f>
        <v>100</v>
      </c>
      <c r="E116" s="64">
        <f t="shared" si="57"/>
        <v>100</v>
      </c>
      <c r="F116" s="64">
        <f t="shared" si="57"/>
        <v>100</v>
      </c>
      <c r="G116" s="162">
        <f t="shared" ref="G116:P116" si="58">IFERROR(F116*(1+$D$75),"")</f>
        <v>101</v>
      </c>
      <c r="H116" s="162">
        <f t="shared" si="58"/>
        <v>102.01</v>
      </c>
      <c r="I116" s="162">
        <f t="shared" si="58"/>
        <v>103.0301</v>
      </c>
      <c r="J116" s="126">
        <f t="shared" si="58"/>
        <v>104.060401</v>
      </c>
      <c r="K116" s="126">
        <f t="shared" si="58"/>
        <v>105.10100500999999</v>
      </c>
      <c r="L116" s="126">
        <f t="shared" si="58"/>
        <v>106.1520150601</v>
      </c>
      <c r="M116" s="126">
        <f t="shared" si="58"/>
        <v>107.213535210701</v>
      </c>
      <c r="N116" s="126">
        <f t="shared" si="58"/>
        <v>108.28567056280801</v>
      </c>
      <c r="O116" s="126">
        <f t="shared" si="58"/>
        <v>109.36852726843608</v>
      </c>
      <c r="P116" s="127">
        <f t="shared" si="58"/>
        <v>110.46221254112045</v>
      </c>
      <c r="Q116" s="50"/>
      <c r="R116" s="50"/>
      <c r="S116" s="50"/>
      <c r="T116" s="50"/>
      <c r="U116" s="50"/>
      <c r="V116" s="50"/>
      <c r="W116" s="50"/>
      <c r="X116" s="50"/>
      <c r="Y116" s="50"/>
      <c r="Z116" s="50"/>
    </row>
    <row r="117" spans="1:26" ht="15.75" customHeight="1" x14ac:dyDescent="0.35">
      <c r="A117" s="50"/>
      <c r="B117" s="53" t="s">
        <v>158</v>
      </c>
      <c r="C117" s="54"/>
      <c r="D117" s="64">
        <f t="shared" ref="D117:F117" si="59">D57</f>
        <v>100</v>
      </c>
      <c r="E117" s="64">
        <f t="shared" si="59"/>
        <v>100</v>
      </c>
      <c r="F117" s="64">
        <f t="shared" si="59"/>
        <v>100</v>
      </c>
      <c r="G117" s="162">
        <f t="shared" ref="G117:P117" si="60">IFERROR(F117*(1+$D$75),"")</f>
        <v>101</v>
      </c>
      <c r="H117" s="162">
        <f t="shared" si="60"/>
        <v>102.01</v>
      </c>
      <c r="I117" s="162">
        <f t="shared" si="60"/>
        <v>103.0301</v>
      </c>
      <c r="J117" s="126">
        <f t="shared" si="60"/>
        <v>104.060401</v>
      </c>
      <c r="K117" s="126">
        <f t="shared" si="60"/>
        <v>105.10100500999999</v>
      </c>
      <c r="L117" s="126">
        <f t="shared" si="60"/>
        <v>106.1520150601</v>
      </c>
      <c r="M117" s="126">
        <f t="shared" si="60"/>
        <v>107.213535210701</v>
      </c>
      <c r="N117" s="126">
        <f t="shared" si="60"/>
        <v>108.28567056280801</v>
      </c>
      <c r="O117" s="126">
        <f t="shared" si="60"/>
        <v>109.36852726843608</v>
      </c>
      <c r="P117" s="127">
        <f t="shared" si="60"/>
        <v>110.46221254112045</v>
      </c>
      <c r="Q117" s="50"/>
      <c r="R117" s="50"/>
      <c r="S117" s="50"/>
      <c r="T117" s="50"/>
      <c r="U117" s="50"/>
      <c r="V117" s="50"/>
      <c r="W117" s="50"/>
      <c r="X117" s="50"/>
      <c r="Y117" s="50"/>
      <c r="Z117" s="50"/>
    </row>
    <row r="118" spans="1:26" ht="15.75" customHeight="1" x14ac:dyDescent="0.35">
      <c r="A118" s="50"/>
      <c r="B118" s="46" t="s">
        <v>163</v>
      </c>
      <c r="C118" s="65"/>
      <c r="D118" s="123"/>
      <c r="E118" s="123"/>
      <c r="F118" s="123"/>
      <c r="G118" s="50"/>
      <c r="H118" s="50"/>
      <c r="I118" s="50"/>
      <c r="J118" s="50"/>
      <c r="K118" s="50"/>
      <c r="L118" s="50"/>
      <c r="M118" s="50"/>
      <c r="N118" s="50"/>
      <c r="O118" s="50"/>
      <c r="P118" s="115"/>
      <c r="Q118" s="50"/>
      <c r="R118" s="50"/>
      <c r="S118" s="50"/>
      <c r="T118" s="50"/>
      <c r="U118" s="50"/>
      <c r="V118" s="50"/>
      <c r="W118" s="50"/>
      <c r="X118" s="50"/>
      <c r="Y118" s="50"/>
      <c r="Z118" s="50"/>
    </row>
    <row r="119" spans="1:26" ht="15.75" customHeight="1" x14ac:dyDescent="0.35">
      <c r="A119" s="50"/>
      <c r="B119" s="53" t="s">
        <v>145</v>
      </c>
      <c r="C119" s="116" t="s">
        <v>94</v>
      </c>
      <c r="D119" s="80">
        <f t="shared" ref="D119:F119" si="61">D28</f>
        <v>100</v>
      </c>
      <c r="E119" s="80">
        <f t="shared" si="61"/>
        <v>100</v>
      </c>
      <c r="F119" s="80">
        <f t="shared" si="61"/>
        <v>100</v>
      </c>
      <c r="G119" s="120">
        <f t="shared" ref="G119:P119" si="62">F119*(1+$D$77)</f>
        <v>105</v>
      </c>
      <c r="H119" s="120">
        <f t="shared" si="62"/>
        <v>110.25</v>
      </c>
      <c r="I119" s="120">
        <f t="shared" si="62"/>
        <v>115.7625</v>
      </c>
      <c r="J119" s="120">
        <f t="shared" si="62"/>
        <v>121.55062500000001</v>
      </c>
      <c r="K119" s="120">
        <f t="shared" si="62"/>
        <v>127.62815625000002</v>
      </c>
      <c r="L119" s="120">
        <f t="shared" si="62"/>
        <v>134.00956406250003</v>
      </c>
      <c r="M119" s="120">
        <f t="shared" si="62"/>
        <v>140.71004226562505</v>
      </c>
      <c r="N119" s="120">
        <f t="shared" si="62"/>
        <v>147.74554437890632</v>
      </c>
      <c r="O119" s="120">
        <f t="shared" si="62"/>
        <v>155.13282159785163</v>
      </c>
      <c r="P119" s="124">
        <f t="shared" si="62"/>
        <v>162.88946267774421</v>
      </c>
      <c r="Q119" s="50"/>
      <c r="R119" s="50"/>
      <c r="S119" s="50"/>
      <c r="T119" s="50"/>
      <c r="U119" s="50"/>
      <c r="V119" s="50"/>
      <c r="W119" s="50"/>
      <c r="X119" s="50"/>
      <c r="Y119" s="50"/>
      <c r="Z119" s="50"/>
    </row>
    <row r="120" spans="1:26" ht="15.75" customHeight="1" x14ac:dyDescent="0.35">
      <c r="A120" s="50"/>
      <c r="B120" s="53" t="s">
        <v>146</v>
      </c>
      <c r="C120" s="116" t="s">
        <v>94</v>
      </c>
      <c r="D120" s="80">
        <f t="shared" ref="D120:F120" si="63">D29</f>
        <v>100</v>
      </c>
      <c r="E120" s="80">
        <f t="shared" si="63"/>
        <v>100</v>
      </c>
      <c r="F120" s="80">
        <f t="shared" si="63"/>
        <v>100</v>
      </c>
      <c r="G120" s="120">
        <f t="shared" ref="G120:P120" si="64">F120*(1+$D$77)</f>
        <v>105</v>
      </c>
      <c r="H120" s="120">
        <f t="shared" si="64"/>
        <v>110.25</v>
      </c>
      <c r="I120" s="120">
        <f t="shared" si="64"/>
        <v>115.7625</v>
      </c>
      <c r="J120" s="120">
        <f t="shared" si="64"/>
        <v>121.55062500000001</v>
      </c>
      <c r="K120" s="120">
        <f t="shared" si="64"/>
        <v>127.62815625000002</v>
      </c>
      <c r="L120" s="120">
        <f t="shared" si="64"/>
        <v>134.00956406250003</v>
      </c>
      <c r="M120" s="120">
        <f t="shared" si="64"/>
        <v>140.71004226562505</v>
      </c>
      <c r="N120" s="120">
        <f t="shared" si="64"/>
        <v>147.74554437890632</v>
      </c>
      <c r="O120" s="120">
        <f t="shared" si="64"/>
        <v>155.13282159785163</v>
      </c>
      <c r="P120" s="124">
        <f t="shared" si="64"/>
        <v>162.88946267774421</v>
      </c>
      <c r="Q120" s="50"/>
      <c r="R120" s="50"/>
      <c r="S120" s="50"/>
      <c r="T120" s="50"/>
      <c r="U120" s="50"/>
      <c r="V120" s="50"/>
      <c r="W120" s="50"/>
      <c r="X120" s="50"/>
      <c r="Y120" s="50"/>
      <c r="Z120" s="50"/>
    </row>
    <row r="121" spans="1:26" ht="15.75" customHeight="1" x14ac:dyDescent="0.35">
      <c r="A121" s="50"/>
      <c r="B121" s="53" t="s">
        <v>147</v>
      </c>
      <c r="C121" s="116" t="s">
        <v>94</v>
      </c>
      <c r="D121" s="80">
        <f t="shared" ref="D121:F121" si="65">D30</f>
        <v>100</v>
      </c>
      <c r="E121" s="80">
        <f t="shared" si="65"/>
        <v>100</v>
      </c>
      <c r="F121" s="80">
        <f t="shared" si="65"/>
        <v>100</v>
      </c>
      <c r="G121" s="120">
        <f t="shared" ref="G121:P121" si="66">F121*(1+$D$77)</f>
        <v>105</v>
      </c>
      <c r="H121" s="120">
        <f t="shared" si="66"/>
        <v>110.25</v>
      </c>
      <c r="I121" s="120">
        <f t="shared" si="66"/>
        <v>115.7625</v>
      </c>
      <c r="J121" s="120">
        <f t="shared" si="66"/>
        <v>121.55062500000001</v>
      </c>
      <c r="K121" s="120">
        <f t="shared" si="66"/>
        <v>127.62815625000002</v>
      </c>
      <c r="L121" s="120">
        <f t="shared" si="66"/>
        <v>134.00956406250003</v>
      </c>
      <c r="M121" s="120">
        <f t="shared" si="66"/>
        <v>140.71004226562505</v>
      </c>
      <c r="N121" s="120">
        <f t="shared" si="66"/>
        <v>147.74554437890632</v>
      </c>
      <c r="O121" s="120">
        <f t="shared" si="66"/>
        <v>155.13282159785163</v>
      </c>
      <c r="P121" s="124">
        <f t="shared" si="66"/>
        <v>162.88946267774421</v>
      </c>
      <c r="Q121" s="50"/>
      <c r="R121" s="50"/>
      <c r="S121" s="50"/>
      <c r="T121" s="50"/>
      <c r="U121" s="50"/>
      <c r="V121" s="50"/>
      <c r="W121" s="50"/>
      <c r="X121" s="50"/>
      <c r="Y121" s="50"/>
      <c r="Z121" s="50"/>
    </row>
    <row r="122" spans="1:26" ht="15.75" customHeight="1" x14ac:dyDescent="0.35">
      <c r="A122" s="50"/>
      <c r="B122" s="53" t="s">
        <v>148</v>
      </c>
      <c r="C122" s="116" t="s">
        <v>94</v>
      </c>
      <c r="D122" s="80">
        <f t="shared" ref="D122:F122" si="67">D31</f>
        <v>100</v>
      </c>
      <c r="E122" s="80">
        <f t="shared" si="67"/>
        <v>100</v>
      </c>
      <c r="F122" s="80">
        <f t="shared" si="67"/>
        <v>100</v>
      </c>
      <c r="G122" s="120">
        <f t="shared" ref="G122:P122" si="68">F122*(1+$D$77)</f>
        <v>105</v>
      </c>
      <c r="H122" s="120">
        <f t="shared" si="68"/>
        <v>110.25</v>
      </c>
      <c r="I122" s="120">
        <f t="shared" si="68"/>
        <v>115.7625</v>
      </c>
      <c r="J122" s="120">
        <f t="shared" si="68"/>
        <v>121.55062500000001</v>
      </c>
      <c r="K122" s="120">
        <f t="shared" si="68"/>
        <v>127.62815625000002</v>
      </c>
      <c r="L122" s="120">
        <f t="shared" si="68"/>
        <v>134.00956406250003</v>
      </c>
      <c r="M122" s="120">
        <f t="shared" si="68"/>
        <v>140.71004226562505</v>
      </c>
      <c r="N122" s="120">
        <f t="shared" si="68"/>
        <v>147.74554437890632</v>
      </c>
      <c r="O122" s="120">
        <f t="shared" si="68"/>
        <v>155.13282159785163</v>
      </c>
      <c r="P122" s="124">
        <f t="shared" si="68"/>
        <v>162.88946267774421</v>
      </c>
      <c r="Q122" s="50"/>
      <c r="R122" s="50"/>
      <c r="S122" s="50"/>
      <c r="T122" s="50"/>
      <c r="U122" s="50"/>
      <c r="V122" s="50"/>
      <c r="W122" s="50"/>
      <c r="X122" s="50"/>
      <c r="Y122" s="50"/>
      <c r="Z122" s="50"/>
    </row>
    <row r="123" spans="1:26" ht="15.75" customHeight="1" x14ac:dyDescent="0.35">
      <c r="A123" s="50"/>
      <c r="B123" s="53" t="s">
        <v>149</v>
      </c>
      <c r="C123" s="116" t="s">
        <v>94</v>
      </c>
      <c r="D123" s="80">
        <f t="shared" ref="D123:F123" si="69">D32</f>
        <v>100</v>
      </c>
      <c r="E123" s="80">
        <f t="shared" si="69"/>
        <v>100</v>
      </c>
      <c r="F123" s="80">
        <f t="shared" si="69"/>
        <v>100</v>
      </c>
      <c r="G123" s="120">
        <f t="shared" ref="G123:P123" si="70">F123*(1+$D$77)</f>
        <v>105</v>
      </c>
      <c r="H123" s="120">
        <f t="shared" si="70"/>
        <v>110.25</v>
      </c>
      <c r="I123" s="120">
        <f t="shared" si="70"/>
        <v>115.7625</v>
      </c>
      <c r="J123" s="120">
        <f t="shared" si="70"/>
        <v>121.55062500000001</v>
      </c>
      <c r="K123" s="120">
        <f t="shared" si="70"/>
        <v>127.62815625000002</v>
      </c>
      <c r="L123" s="120">
        <f t="shared" si="70"/>
        <v>134.00956406250003</v>
      </c>
      <c r="M123" s="120">
        <f t="shared" si="70"/>
        <v>140.71004226562505</v>
      </c>
      <c r="N123" s="120">
        <f t="shared" si="70"/>
        <v>147.74554437890632</v>
      </c>
      <c r="O123" s="120">
        <f t="shared" si="70"/>
        <v>155.13282159785163</v>
      </c>
      <c r="P123" s="124">
        <f t="shared" si="70"/>
        <v>162.88946267774421</v>
      </c>
      <c r="Q123" s="50"/>
      <c r="R123" s="50"/>
      <c r="S123" s="50"/>
      <c r="T123" s="50"/>
      <c r="U123" s="50"/>
      <c r="V123" s="50"/>
      <c r="W123" s="50"/>
      <c r="X123" s="50"/>
      <c r="Y123" s="50"/>
      <c r="Z123" s="50"/>
    </row>
    <row r="124" spans="1:26" ht="15.75" customHeight="1" x14ac:dyDescent="0.35">
      <c r="A124" s="50"/>
      <c r="B124" s="53" t="s">
        <v>150</v>
      </c>
      <c r="C124" s="116" t="s">
        <v>94</v>
      </c>
      <c r="D124" s="80">
        <f t="shared" ref="D124:F124" si="71">D33</f>
        <v>100</v>
      </c>
      <c r="E124" s="80">
        <f t="shared" si="71"/>
        <v>100</v>
      </c>
      <c r="F124" s="80">
        <f t="shared" si="71"/>
        <v>100</v>
      </c>
      <c r="G124" s="120">
        <f t="shared" ref="G124:P124" si="72">F124*(1+$D$77)</f>
        <v>105</v>
      </c>
      <c r="H124" s="120">
        <f t="shared" si="72"/>
        <v>110.25</v>
      </c>
      <c r="I124" s="120">
        <f t="shared" si="72"/>
        <v>115.7625</v>
      </c>
      <c r="J124" s="120">
        <f t="shared" si="72"/>
        <v>121.55062500000001</v>
      </c>
      <c r="K124" s="120">
        <f t="shared" si="72"/>
        <v>127.62815625000002</v>
      </c>
      <c r="L124" s="120">
        <f t="shared" si="72"/>
        <v>134.00956406250003</v>
      </c>
      <c r="M124" s="120">
        <f t="shared" si="72"/>
        <v>140.71004226562505</v>
      </c>
      <c r="N124" s="120">
        <f t="shared" si="72"/>
        <v>147.74554437890632</v>
      </c>
      <c r="O124" s="120">
        <f t="shared" si="72"/>
        <v>155.13282159785163</v>
      </c>
      <c r="P124" s="124">
        <f t="shared" si="72"/>
        <v>162.88946267774421</v>
      </c>
      <c r="Q124" s="50"/>
      <c r="R124" s="50"/>
      <c r="S124" s="50"/>
      <c r="T124" s="50"/>
      <c r="U124" s="50"/>
      <c r="V124" s="50"/>
      <c r="W124" s="50"/>
      <c r="X124" s="50"/>
      <c r="Y124" s="50"/>
      <c r="Z124" s="50"/>
    </row>
    <row r="125" spans="1:26" ht="15.75" customHeight="1" x14ac:dyDescent="0.35">
      <c r="A125" s="50"/>
      <c r="B125" s="53" t="s">
        <v>151</v>
      </c>
      <c r="C125" s="116" t="s">
        <v>94</v>
      </c>
      <c r="D125" s="80">
        <f t="shared" ref="D125:F125" si="73">D34</f>
        <v>100</v>
      </c>
      <c r="E125" s="80">
        <f t="shared" si="73"/>
        <v>100</v>
      </c>
      <c r="F125" s="80">
        <f t="shared" si="73"/>
        <v>100</v>
      </c>
      <c r="G125" s="120">
        <f t="shared" ref="G125:P125" si="74">F125*(1+$D$77)</f>
        <v>105</v>
      </c>
      <c r="H125" s="120">
        <f t="shared" si="74"/>
        <v>110.25</v>
      </c>
      <c r="I125" s="120">
        <f t="shared" si="74"/>
        <v>115.7625</v>
      </c>
      <c r="J125" s="120">
        <f t="shared" si="74"/>
        <v>121.55062500000001</v>
      </c>
      <c r="K125" s="120">
        <f t="shared" si="74"/>
        <v>127.62815625000002</v>
      </c>
      <c r="L125" s="120">
        <f t="shared" si="74"/>
        <v>134.00956406250003</v>
      </c>
      <c r="M125" s="120">
        <f t="shared" si="74"/>
        <v>140.71004226562505</v>
      </c>
      <c r="N125" s="120">
        <f t="shared" si="74"/>
        <v>147.74554437890632</v>
      </c>
      <c r="O125" s="120">
        <f t="shared" si="74"/>
        <v>155.13282159785163</v>
      </c>
      <c r="P125" s="124">
        <f t="shared" si="74"/>
        <v>162.88946267774421</v>
      </c>
      <c r="Q125" s="50"/>
      <c r="R125" s="50"/>
      <c r="S125" s="50"/>
      <c r="T125" s="50"/>
      <c r="U125" s="50"/>
      <c r="V125" s="50"/>
      <c r="W125" s="50"/>
      <c r="X125" s="50"/>
      <c r="Y125" s="50"/>
      <c r="Z125" s="50"/>
    </row>
    <row r="126" spans="1:26" ht="15.75" customHeight="1" x14ac:dyDescent="0.35">
      <c r="A126" s="50"/>
      <c r="B126" s="53" t="s">
        <v>152</v>
      </c>
      <c r="C126" s="116" t="s">
        <v>94</v>
      </c>
      <c r="D126" s="80">
        <f t="shared" ref="D126:F126" si="75">D35</f>
        <v>100</v>
      </c>
      <c r="E126" s="80">
        <f t="shared" si="75"/>
        <v>100</v>
      </c>
      <c r="F126" s="80">
        <f t="shared" si="75"/>
        <v>100</v>
      </c>
      <c r="G126" s="120">
        <f t="shared" ref="G126:P126" si="76">F126*(1+$D$77)</f>
        <v>105</v>
      </c>
      <c r="H126" s="120">
        <f t="shared" si="76"/>
        <v>110.25</v>
      </c>
      <c r="I126" s="120">
        <f t="shared" si="76"/>
        <v>115.7625</v>
      </c>
      <c r="J126" s="120">
        <f t="shared" si="76"/>
        <v>121.55062500000001</v>
      </c>
      <c r="K126" s="120">
        <f t="shared" si="76"/>
        <v>127.62815625000002</v>
      </c>
      <c r="L126" s="120">
        <f t="shared" si="76"/>
        <v>134.00956406250003</v>
      </c>
      <c r="M126" s="120">
        <f t="shared" si="76"/>
        <v>140.71004226562505</v>
      </c>
      <c r="N126" s="120">
        <f t="shared" si="76"/>
        <v>147.74554437890632</v>
      </c>
      <c r="O126" s="120">
        <f t="shared" si="76"/>
        <v>155.13282159785163</v>
      </c>
      <c r="P126" s="124">
        <f t="shared" si="76"/>
        <v>162.88946267774421</v>
      </c>
      <c r="Q126" s="50"/>
      <c r="R126" s="50"/>
      <c r="S126" s="50"/>
      <c r="T126" s="50"/>
      <c r="U126" s="50"/>
      <c r="V126" s="50"/>
      <c r="W126" s="50"/>
      <c r="X126" s="50"/>
      <c r="Y126" s="50"/>
      <c r="Z126" s="50"/>
    </row>
    <row r="127" spans="1:26" ht="15.75" customHeight="1" x14ac:dyDescent="0.35">
      <c r="A127" s="50"/>
      <c r="B127" s="53" t="s">
        <v>153</v>
      </c>
      <c r="C127" s="116" t="s">
        <v>94</v>
      </c>
      <c r="D127" s="80">
        <f t="shared" ref="D127:F127" si="77">D36</f>
        <v>100</v>
      </c>
      <c r="E127" s="80">
        <f t="shared" si="77"/>
        <v>100</v>
      </c>
      <c r="F127" s="80">
        <f t="shared" si="77"/>
        <v>100</v>
      </c>
      <c r="G127" s="120">
        <f t="shared" ref="G127:P127" si="78">F127*(1+$D$77)</f>
        <v>105</v>
      </c>
      <c r="H127" s="120">
        <f t="shared" si="78"/>
        <v>110.25</v>
      </c>
      <c r="I127" s="120">
        <f t="shared" si="78"/>
        <v>115.7625</v>
      </c>
      <c r="J127" s="120">
        <f t="shared" si="78"/>
        <v>121.55062500000001</v>
      </c>
      <c r="K127" s="120">
        <f t="shared" si="78"/>
        <v>127.62815625000002</v>
      </c>
      <c r="L127" s="120">
        <f t="shared" si="78"/>
        <v>134.00956406250003</v>
      </c>
      <c r="M127" s="120">
        <f t="shared" si="78"/>
        <v>140.71004226562505</v>
      </c>
      <c r="N127" s="120">
        <f t="shared" si="78"/>
        <v>147.74554437890632</v>
      </c>
      <c r="O127" s="120">
        <f t="shared" si="78"/>
        <v>155.13282159785163</v>
      </c>
      <c r="P127" s="124">
        <f t="shared" si="78"/>
        <v>162.88946267774421</v>
      </c>
      <c r="Q127" s="50"/>
      <c r="R127" s="50"/>
      <c r="S127" s="50"/>
      <c r="T127" s="50"/>
      <c r="U127" s="50"/>
      <c r="V127" s="50"/>
      <c r="W127" s="50"/>
      <c r="X127" s="50"/>
      <c r="Y127" s="50"/>
      <c r="Z127" s="50"/>
    </row>
    <row r="128" spans="1:26" ht="15.75" customHeight="1" x14ac:dyDescent="0.35">
      <c r="A128" s="50"/>
      <c r="B128" s="53" t="s">
        <v>154</v>
      </c>
      <c r="C128" s="116" t="s">
        <v>94</v>
      </c>
      <c r="D128" s="80">
        <f t="shared" ref="D128:F128" si="79">D37</f>
        <v>100</v>
      </c>
      <c r="E128" s="80">
        <f t="shared" si="79"/>
        <v>100</v>
      </c>
      <c r="F128" s="80">
        <f t="shared" si="79"/>
        <v>100</v>
      </c>
      <c r="G128" s="120">
        <f t="shared" ref="G128:P128" si="80">F128*(1+$D$77)</f>
        <v>105</v>
      </c>
      <c r="H128" s="120">
        <f t="shared" si="80"/>
        <v>110.25</v>
      </c>
      <c r="I128" s="120">
        <f t="shared" si="80"/>
        <v>115.7625</v>
      </c>
      <c r="J128" s="120">
        <f t="shared" si="80"/>
        <v>121.55062500000001</v>
      </c>
      <c r="K128" s="120">
        <f t="shared" si="80"/>
        <v>127.62815625000002</v>
      </c>
      <c r="L128" s="120">
        <f t="shared" si="80"/>
        <v>134.00956406250003</v>
      </c>
      <c r="M128" s="120">
        <f t="shared" si="80"/>
        <v>140.71004226562505</v>
      </c>
      <c r="N128" s="120">
        <f t="shared" si="80"/>
        <v>147.74554437890632</v>
      </c>
      <c r="O128" s="120">
        <f t="shared" si="80"/>
        <v>155.13282159785163</v>
      </c>
      <c r="P128" s="124">
        <f t="shared" si="80"/>
        <v>162.88946267774421</v>
      </c>
      <c r="Q128" s="50"/>
      <c r="R128" s="50"/>
      <c r="S128" s="50"/>
      <c r="T128" s="50"/>
      <c r="U128" s="50"/>
      <c r="V128" s="50"/>
      <c r="W128" s="50"/>
      <c r="X128" s="50"/>
      <c r="Y128" s="50"/>
      <c r="Z128" s="50"/>
    </row>
    <row r="129" spans="1:26" ht="15.75" customHeight="1" x14ac:dyDescent="0.35">
      <c r="A129" s="50"/>
      <c r="B129" s="53" t="s">
        <v>155</v>
      </c>
      <c r="C129" s="116" t="s">
        <v>94</v>
      </c>
      <c r="D129" s="80">
        <f t="shared" ref="D129:F129" si="81">D38</f>
        <v>100</v>
      </c>
      <c r="E129" s="80">
        <f t="shared" si="81"/>
        <v>100</v>
      </c>
      <c r="F129" s="80">
        <f t="shared" si="81"/>
        <v>100</v>
      </c>
      <c r="G129" s="120">
        <f t="shared" ref="G129:P129" si="82">F129*(1+$D$77)</f>
        <v>105</v>
      </c>
      <c r="H129" s="120">
        <f t="shared" si="82"/>
        <v>110.25</v>
      </c>
      <c r="I129" s="120">
        <f t="shared" si="82"/>
        <v>115.7625</v>
      </c>
      <c r="J129" s="120">
        <f t="shared" si="82"/>
        <v>121.55062500000001</v>
      </c>
      <c r="K129" s="120">
        <f t="shared" si="82"/>
        <v>127.62815625000002</v>
      </c>
      <c r="L129" s="120">
        <f t="shared" si="82"/>
        <v>134.00956406250003</v>
      </c>
      <c r="M129" s="120">
        <f t="shared" si="82"/>
        <v>140.71004226562505</v>
      </c>
      <c r="N129" s="120">
        <f t="shared" si="82"/>
        <v>147.74554437890632</v>
      </c>
      <c r="O129" s="120">
        <f t="shared" si="82"/>
        <v>155.13282159785163</v>
      </c>
      <c r="P129" s="124">
        <f t="shared" si="82"/>
        <v>162.88946267774421</v>
      </c>
      <c r="Q129" s="50"/>
      <c r="R129" s="50"/>
      <c r="S129" s="50"/>
      <c r="T129" s="50"/>
      <c r="U129" s="50"/>
      <c r="V129" s="50"/>
      <c r="W129" s="50"/>
      <c r="X129" s="50"/>
      <c r="Y129" s="50"/>
      <c r="Z129" s="50"/>
    </row>
    <row r="130" spans="1:26" ht="15.75" customHeight="1" x14ac:dyDescent="0.35">
      <c r="A130" s="50"/>
      <c r="B130" s="53" t="s">
        <v>156</v>
      </c>
      <c r="C130" s="116" t="s">
        <v>94</v>
      </c>
      <c r="D130" s="80">
        <f t="shared" ref="D130:F130" si="83">D39</f>
        <v>100</v>
      </c>
      <c r="E130" s="80">
        <f t="shared" si="83"/>
        <v>100</v>
      </c>
      <c r="F130" s="80">
        <f t="shared" si="83"/>
        <v>100</v>
      </c>
      <c r="G130" s="120">
        <f t="shared" ref="G130:P130" si="84">F130*(1+$D$77)</f>
        <v>105</v>
      </c>
      <c r="H130" s="120">
        <f t="shared" si="84"/>
        <v>110.25</v>
      </c>
      <c r="I130" s="120">
        <f t="shared" si="84"/>
        <v>115.7625</v>
      </c>
      <c r="J130" s="120">
        <f t="shared" si="84"/>
        <v>121.55062500000001</v>
      </c>
      <c r="K130" s="120">
        <f t="shared" si="84"/>
        <v>127.62815625000002</v>
      </c>
      <c r="L130" s="120">
        <f t="shared" si="84"/>
        <v>134.00956406250003</v>
      </c>
      <c r="M130" s="120">
        <f t="shared" si="84"/>
        <v>140.71004226562505</v>
      </c>
      <c r="N130" s="120">
        <f t="shared" si="84"/>
        <v>147.74554437890632</v>
      </c>
      <c r="O130" s="120">
        <f t="shared" si="84"/>
        <v>155.13282159785163</v>
      </c>
      <c r="P130" s="124">
        <f t="shared" si="84"/>
        <v>162.88946267774421</v>
      </c>
      <c r="Q130" s="50"/>
      <c r="R130" s="50"/>
      <c r="S130" s="50"/>
      <c r="T130" s="50"/>
      <c r="U130" s="50"/>
      <c r="V130" s="50"/>
      <c r="W130" s="50"/>
      <c r="X130" s="50"/>
      <c r="Y130" s="50"/>
      <c r="Z130" s="50"/>
    </row>
    <row r="131" spans="1:26" ht="15.75" customHeight="1" x14ac:dyDescent="0.35">
      <c r="A131" s="50"/>
      <c r="B131" s="161" t="s">
        <v>157</v>
      </c>
      <c r="C131" s="116" t="s">
        <v>94</v>
      </c>
      <c r="D131" s="80">
        <f t="shared" ref="D131:F131" si="85">D40</f>
        <v>100</v>
      </c>
      <c r="E131" s="80">
        <f t="shared" si="85"/>
        <v>100</v>
      </c>
      <c r="F131" s="80">
        <f t="shared" si="85"/>
        <v>100</v>
      </c>
      <c r="G131" s="120">
        <f t="shared" ref="G131:P131" si="86">F131*(1+$D$77)</f>
        <v>105</v>
      </c>
      <c r="H131" s="120">
        <f t="shared" si="86"/>
        <v>110.25</v>
      </c>
      <c r="I131" s="120">
        <f t="shared" si="86"/>
        <v>115.7625</v>
      </c>
      <c r="J131" s="120">
        <f t="shared" si="86"/>
        <v>121.55062500000001</v>
      </c>
      <c r="K131" s="120">
        <f t="shared" si="86"/>
        <v>127.62815625000002</v>
      </c>
      <c r="L131" s="120">
        <f t="shared" si="86"/>
        <v>134.00956406250003</v>
      </c>
      <c r="M131" s="120">
        <f t="shared" si="86"/>
        <v>140.71004226562505</v>
      </c>
      <c r="N131" s="120">
        <f t="shared" si="86"/>
        <v>147.74554437890632</v>
      </c>
      <c r="O131" s="120">
        <f t="shared" si="86"/>
        <v>155.13282159785163</v>
      </c>
      <c r="P131" s="124">
        <f t="shared" si="86"/>
        <v>162.88946267774421</v>
      </c>
      <c r="Q131" s="50"/>
      <c r="R131" s="50"/>
      <c r="S131" s="50"/>
      <c r="T131" s="50"/>
      <c r="U131" s="50"/>
      <c r="V131" s="50"/>
      <c r="W131" s="50"/>
      <c r="X131" s="50"/>
      <c r="Y131" s="50"/>
      <c r="Z131" s="50"/>
    </row>
    <row r="132" spans="1:26" ht="15.75" customHeight="1" x14ac:dyDescent="0.35">
      <c r="A132" s="50"/>
      <c r="B132" s="53" t="s">
        <v>158</v>
      </c>
      <c r="C132" s="116" t="s">
        <v>94</v>
      </c>
      <c r="D132" s="80">
        <f t="shared" ref="D132:F132" si="87">D41</f>
        <v>100</v>
      </c>
      <c r="E132" s="80">
        <f t="shared" si="87"/>
        <v>100</v>
      </c>
      <c r="F132" s="80">
        <f t="shared" si="87"/>
        <v>100</v>
      </c>
      <c r="G132" s="120">
        <f t="shared" ref="G132:P132" si="88">F132*(1+$D$77)</f>
        <v>105</v>
      </c>
      <c r="H132" s="120">
        <f t="shared" si="88"/>
        <v>110.25</v>
      </c>
      <c r="I132" s="120">
        <f t="shared" si="88"/>
        <v>115.7625</v>
      </c>
      <c r="J132" s="120">
        <f t="shared" si="88"/>
        <v>121.55062500000001</v>
      </c>
      <c r="K132" s="120">
        <f t="shared" si="88"/>
        <v>127.62815625000002</v>
      </c>
      <c r="L132" s="120">
        <f t="shared" si="88"/>
        <v>134.00956406250003</v>
      </c>
      <c r="M132" s="120">
        <f t="shared" si="88"/>
        <v>140.71004226562505</v>
      </c>
      <c r="N132" s="120">
        <f t="shared" si="88"/>
        <v>147.74554437890632</v>
      </c>
      <c r="O132" s="120">
        <f t="shared" si="88"/>
        <v>155.13282159785163</v>
      </c>
      <c r="P132" s="124">
        <f t="shared" si="88"/>
        <v>162.88946267774421</v>
      </c>
      <c r="Q132" s="50"/>
      <c r="R132" s="50"/>
      <c r="S132" s="50"/>
      <c r="T132" s="50"/>
      <c r="U132" s="50"/>
      <c r="V132" s="50"/>
      <c r="W132" s="50"/>
      <c r="X132" s="50"/>
      <c r="Y132" s="50"/>
      <c r="Z132" s="50"/>
    </row>
    <row r="133" spans="1:26" ht="15.75" customHeight="1" x14ac:dyDescent="0.35">
      <c r="A133" s="32"/>
      <c r="B133" s="58" t="s">
        <v>65</v>
      </c>
      <c r="C133" s="116" t="s">
        <v>94</v>
      </c>
      <c r="D133" s="118">
        <f t="shared" ref="D133:P133" si="89">SUM(D119:D132)</f>
        <v>1400</v>
      </c>
      <c r="E133" s="118">
        <f t="shared" si="89"/>
        <v>1400</v>
      </c>
      <c r="F133" s="118">
        <f t="shared" si="89"/>
        <v>1400</v>
      </c>
      <c r="G133" s="118">
        <f t="shared" si="89"/>
        <v>1470</v>
      </c>
      <c r="H133" s="118">
        <f t="shared" si="89"/>
        <v>1543.5</v>
      </c>
      <c r="I133" s="118">
        <f t="shared" si="89"/>
        <v>1620.6750000000004</v>
      </c>
      <c r="J133" s="118">
        <f t="shared" si="89"/>
        <v>1701.7087500000005</v>
      </c>
      <c r="K133" s="118">
        <f t="shared" si="89"/>
        <v>1786.7941875000008</v>
      </c>
      <c r="L133" s="118">
        <f t="shared" si="89"/>
        <v>1876.1338968749999</v>
      </c>
      <c r="M133" s="118">
        <f t="shared" si="89"/>
        <v>1969.9405917187512</v>
      </c>
      <c r="N133" s="118">
        <f t="shared" si="89"/>
        <v>2068.4376213046885</v>
      </c>
      <c r="O133" s="118">
        <f t="shared" si="89"/>
        <v>2171.8595023699231</v>
      </c>
      <c r="P133" s="118">
        <f t="shared" si="89"/>
        <v>2280.4524774884189</v>
      </c>
      <c r="Q133" s="32"/>
      <c r="R133" s="32"/>
      <c r="S133" s="32"/>
      <c r="T133" s="32"/>
      <c r="U133" s="32"/>
      <c r="V133" s="32"/>
      <c r="W133" s="32"/>
      <c r="X133" s="32"/>
      <c r="Y133" s="32"/>
      <c r="Z133" s="32"/>
    </row>
    <row r="134" spans="1:26" ht="15.75" customHeight="1" x14ac:dyDescent="0.35">
      <c r="A134" s="50"/>
      <c r="B134" s="62" t="s">
        <v>134</v>
      </c>
      <c r="C134" s="65"/>
      <c r="D134" s="123"/>
      <c r="E134" s="123"/>
      <c r="F134" s="123"/>
      <c r="G134" s="50"/>
      <c r="H134" s="50"/>
      <c r="I134" s="50"/>
      <c r="J134" s="50"/>
      <c r="K134" s="50"/>
      <c r="L134" s="50"/>
      <c r="M134" s="50"/>
      <c r="N134" s="50"/>
      <c r="O134" s="50"/>
      <c r="P134" s="115"/>
      <c r="Q134" s="50"/>
      <c r="R134" s="50"/>
      <c r="S134" s="50"/>
      <c r="T134" s="50"/>
      <c r="U134" s="50"/>
      <c r="V134" s="50"/>
      <c r="W134" s="50"/>
      <c r="X134" s="50"/>
      <c r="Y134" s="50"/>
      <c r="Z134" s="50"/>
    </row>
    <row r="135" spans="1:26" ht="15.75" customHeight="1" x14ac:dyDescent="0.35">
      <c r="A135" s="50"/>
      <c r="B135" s="53" t="s">
        <v>145</v>
      </c>
      <c r="C135" s="65"/>
      <c r="D135" s="125">
        <f t="shared" ref="D135:F135" si="90">D60</f>
        <v>50</v>
      </c>
      <c r="E135" s="125">
        <f t="shared" si="90"/>
        <v>50</v>
      </c>
      <c r="F135" s="125">
        <f t="shared" si="90"/>
        <v>50</v>
      </c>
      <c r="G135" s="126">
        <f t="shared" ref="G135:P135" si="91">IFERROR(F135*(1+$D$82),"")</f>
        <v>50.5</v>
      </c>
      <c r="H135" s="126">
        <f t="shared" si="91"/>
        <v>51.005000000000003</v>
      </c>
      <c r="I135" s="126">
        <f t="shared" si="91"/>
        <v>51.515050000000002</v>
      </c>
      <c r="J135" s="126">
        <f t="shared" si="91"/>
        <v>52.030200499999999</v>
      </c>
      <c r="K135" s="126">
        <f t="shared" si="91"/>
        <v>52.550502504999997</v>
      </c>
      <c r="L135" s="126">
        <f t="shared" si="91"/>
        <v>53.076007530049999</v>
      </c>
      <c r="M135" s="126">
        <f t="shared" si="91"/>
        <v>53.606767605350498</v>
      </c>
      <c r="N135" s="126">
        <f t="shared" si="91"/>
        <v>54.142835281404004</v>
      </c>
      <c r="O135" s="126">
        <f t="shared" si="91"/>
        <v>54.684263634218041</v>
      </c>
      <c r="P135" s="126">
        <f t="shared" si="91"/>
        <v>55.231106270560225</v>
      </c>
      <c r="Q135" s="50"/>
      <c r="R135" s="50"/>
      <c r="S135" s="50"/>
      <c r="T135" s="50"/>
      <c r="U135" s="50"/>
      <c r="V135" s="50"/>
      <c r="W135" s="50"/>
      <c r="X135" s="50"/>
      <c r="Y135" s="50"/>
      <c r="Z135" s="50"/>
    </row>
    <row r="136" spans="1:26" ht="15.75" customHeight="1" x14ac:dyDescent="0.35">
      <c r="A136" s="50"/>
      <c r="B136" s="53" t="s">
        <v>146</v>
      </c>
      <c r="C136" s="65"/>
      <c r="D136" s="125">
        <f t="shared" ref="D136:F136" si="92">D61</f>
        <v>50</v>
      </c>
      <c r="E136" s="125">
        <f t="shared" si="92"/>
        <v>50</v>
      </c>
      <c r="F136" s="125">
        <f t="shared" si="92"/>
        <v>50</v>
      </c>
      <c r="G136" s="126">
        <f t="shared" ref="G136:P136" si="93">IFERROR(F136*(1+$D$82),"")</f>
        <v>50.5</v>
      </c>
      <c r="H136" s="126">
        <f t="shared" si="93"/>
        <v>51.005000000000003</v>
      </c>
      <c r="I136" s="126">
        <f t="shared" si="93"/>
        <v>51.515050000000002</v>
      </c>
      <c r="J136" s="126">
        <f t="shared" si="93"/>
        <v>52.030200499999999</v>
      </c>
      <c r="K136" s="126">
        <f t="shared" si="93"/>
        <v>52.550502504999997</v>
      </c>
      <c r="L136" s="126">
        <f t="shared" si="93"/>
        <v>53.076007530049999</v>
      </c>
      <c r="M136" s="126">
        <f t="shared" si="93"/>
        <v>53.606767605350498</v>
      </c>
      <c r="N136" s="126">
        <f t="shared" si="93"/>
        <v>54.142835281404004</v>
      </c>
      <c r="O136" s="126">
        <f t="shared" si="93"/>
        <v>54.684263634218041</v>
      </c>
      <c r="P136" s="126">
        <f t="shared" si="93"/>
        <v>55.231106270560225</v>
      </c>
      <c r="Q136" s="50"/>
      <c r="R136" s="50"/>
      <c r="S136" s="50"/>
      <c r="T136" s="50"/>
      <c r="U136" s="50"/>
      <c r="V136" s="50"/>
      <c r="W136" s="50"/>
      <c r="X136" s="50"/>
      <c r="Y136" s="50"/>
      <c r="Z136" s="50"/>
    </row>
    <row r="137" spans="1:26" ht="15.75" customHeight="1" x14ac:dyDescent="0.35">
      <c r="A137" s="50"/>
      <c r="B137" s="53" t="s">
        <v>147</v>
      </c>
      <c r="C137" s="65"/>
      <c r="D137" s="125">
        <f t="shared" ref="D137:F137" si="94">D62</f>
        <v>50</v>
      </c>
      <c r="E137" s="125">
        <f t="shared" si="94"/>
        <v>50</v>
      </c>
      <c r="F137" s="125">
        <f t="shared" si="94"/>
        <v>50</v>
      </c>
      <c r="G137" s="126">
        <f t="shared" ref="G137:P137" si="95">IFERROR(F137*(1+$D$82),"")</f>
        <v>50.5</v>
      </c>
      <c r="H137" s="126">
        <f t="shared" si="95"/>
        <v>51.005000000000003</v>
      </c>
      <c r="I137" s="126">
        <f t="shared" si="95"/>
        <v>51.515050000000002</v>
      </c>
      <c r="J137" s="126">
        <f t="shared" si="95"/>
        <v>52.030200499999999</v>
      </c>
      <c r="K137" s="126">
        <f t="shared" si="95"/>
        <v>52.550502504999997</v>
      </c>
      <c r="L137" s="126">
        <f t="shared" si="95"/>
        <v>53.076007530049999</v>
      </c>
      <c r="M137" s="126">
        <f t="shared" si="95"/>
        <v>53.606767605350498</v>
      </c>
      <c r="N137" s="126">
        <f t="shared" si="95"/>
        <v>54.142835281404004</v>
      </c>
      <c r="O137" s="126">
        <f t="shared" si="95"/>
        <v>54.684263634218041</v>
      </c>
      <c r="P137" s="126">
        <f t="shared" si="95"/>
        <v>55.231106270560225</v>
      </c>
      <c r="Q137" s="50"/>
      <c r="R137" s="50"/>
      <c r="S137" s="50"/>
      <c r="T137" s="50"/>
      <c r="U137" s="50"/>
      <c r="V137" s="50"/>
      <c r="W137" s="50"/>
      <c r="X137" s="50"/>
      <c r="Y137" s="50"/>
      <c r="Z137" s="50"/>
    </row>
    <row r="138" spans="1:26" ht="15.75" customHeight="1" x14ac:dyDescent="0.35">
      <c r="A138" s="50"/>
      <c r="B138" s="53" t="s">
        <v>148</v>
      </c>
      <c r="C138" s="65"/>
      <c r="D138" s="125">
        <f t="shared" ref="D138:F138" si="96">D63</f>
        <v>50</v>
      </c>
      <c r="E138" s="125">
        <f t="shared" si="96"/>
        <v>50</v>
      </c>
      <c r="F138" s="125">
        <f t="shared" si="96"/>
        <v>50</v>
      </c>
      <c r="G138" s="126">
        <f t="shared" ref="G138:P138" si="97">IFERROR(F138*(1+$D$82),"")</f>
        <v>50.5</v>
      </c>
      <c r="H138" s="126">
        <f t="shared" si="97"/>
        <v>51.005000000000003</v>
      </c>
      <c r="I138" s="126">
        <f t="shared" si="97"/>
        <v>51.515050000000002</v>
      </c>
      <c r="J138" s="126">
        <f t="shared" si="97"/>
        <v>52.030200499999999</v>
      </c>
      <c r="K138" s="126">
        <f t="shared" si="97"/>
        <v>52.550502504999997</v>
      </c>
      <c r="L138" s="126">
        <f t="shared" si="97"/>
        <v>53.076007530049999</v>
      </c>
      <c r="M138" s="126">
        <f t="shared" si="97"/>
        <v>53.606767605350498</v>
      </c>
      <c r="N138" s="126">
        <f t="shared" si="97"/>
        <v>54.142835281404004</v>
      </c>
      <c r="O138" s="126">
        <f t="shared" si="97"/>
        <v>54.684263634218041</v>
      </c>
      <c r="P138" s="126">
        <f t="shared" si="97"/>
        <v>55.231106270560225</v>
      </c>
      <c r="Q138" s="50"/>
      <c r="R138" s="50"/>
      <c r="S138" s="50"/>
      <c r="T138" s="50"/>
      <c r="U138" s="50"/>
      <c r="V138" s="50"/>
      <c r="W138" s="50"/>
      <c r="X138" s="50"/>
      <c r="Y138" s="50"/>
      <c r="Z138" s="50"/>
    </row>
    <row r="139" spans="1:26" ht="15.75" customHeight="1" x14ac:dyDescent="0.35">
      <c r="A139" s="50"/>
      <c r="B139" s="53" t="s">
        <v>149</v>
      </c>
      <c r="C139" s="65"/>
      <c r="D139" s="125">
        <f t="shared" ref="D139:F139" si="98">D64</f>
        <v>50</v>
      </c>
      <c r="E139" s="125">
        <f t="shared" si="98"/>
        <v>50</v>
      </c>
      <c r="F139" s="125">
        <f t="shared" si="98"/>
        <v>50</v>
      </c>
      <c r="G139" s="126">
        <f t="shared" ref="G139:P139" si="99">IFERROR(F139*(1+$D$82),"")</f>
        <v>50.5</v>
      </c>
      <c r="H139" s="126">
        <f t="shared" si="99"/>
        <v>51.005000000000003</v>
      </c>
      <c r="I139" s="126">
        <f t="shared" si="99"/>
        <v>51.515050000000002</v>
      </c>
      <c r="J139" s="126">
        <f t="shared" si="99"/>
        <v>52.030200499999999</v>
      </c>
      <c r="K139" s="126">
        <f t="shared" si="99"/>
        <v>52.550502504999997</v>
      </c>
      <c r="L139" s="126">
        <f t="shared" si="99"/>
        <v>53.076007530049999</v>
      </c>
      <c r="M139" s="126">
        <f t="shared" si="99"/>
        <v>53.606767605350498</v>
      </c>
      <c r="N139" s="126">
        <f t="shared" si="99"/>
        <v>54.142835281404004</v>
      </c>
      <c r="O139" s="126">
        <f t="shared" si="99"/>
        <v>54.684263634218041</v>
      </c>
      <c r="P139" s="126">
        <f t="shared" si="99"/>
        <v>55.231106270560225</v>
      </c>
      <c r="Q139" s="50"/>
      <c r="R139" s="50"/>
      <c r="S139" s="50"/>
      <c r="T139" s="50"/>
      <c r="U139" s="50"/>
      <c r="V139" s="50"/>
      <c r="W139" s="50"/>
      <c r="X139" s="50"/>
      <c r="Y139" s="50"/>
      <c r="Z139" s="50"/>
    </row>
    <row r="140" spans="1:26" ht="15.75" customHeight="1" x14ac:dyDescent="0.35">
      <c r="A140" s="50"/>
      <c r="B140" s="53" t="s">
        <v>150</v>
      </c>
      <c r="C140" s="65"/>
      <c r="D140" s="125">
        <f t="shared" ref="D140:F140" si="100">D65</f>
        <v>50</v>
      </c>
      <c r="E140" s="125">
        <f t="shared" si="100"/>
        <v>50</v>
      </c>
      <c r="F140" s="125">
        <f t="shared" si="100"/>
        <v>50</v>
      </c>
      <c r="G140" s="126">
        <f t="shared" ref="G140:P140" si="101">IFERROR(F140*(1+$D$82),"")</f>
        <v>50.5</v>
      </c>
      <c r="H140" s="126">
        <f t="shared" si="101"/>
        <v>51.005000000000003</v>
      </c>
      <c r="I140" s="126">
        <f t="shared" si="101"/>
        <v>51.515050000000002</v>
      </c>
      <c r="J140" s="126">
        <f t="shared" si="101"/>
        <v>52.030200499999999</v>
      </c>
      <c r="K140" s="126">
        <f t="shared" si="101"/>
        <v>52.550502504999997</v>
      </c>
      <c r="L140" s="126">
        <f t="shared" si="101"/>
        <v>53.076007530049999</v>
      </c>
      <c r="M140" s="126">
        <f t="shared" si="101"/>
        <v>53.606767605350498</v>
      </c>
      <c r="N140" s="126">
        <f t="shared" si="101"/>
        <v>54.142835281404004</v>
      </c>
      <c r="O140" s="126">
        <f t="shared" si="101"/>
        <v>54.684263634218041</v>
      </c>
      <c r="P140" s="126">
        <f t="shared" si="101"/>
        <v>55.231106270560225</v>
      </c>
      <c r="Q140" s="50"/>
      <c r="R140" s="50"/>
      <c r="S140" s="50"/>
      <c r="T140" s="50"/>
      <c r="U140" s="50"/>
      <c r="V140" s="50"/>
      <c r="W140" s="50"/>
      <c r="X140" s="50"/>
      <c r="Y140" s="50"/>
      <c r="Z140" s="50"/>
    </row>
    <row r="141" spans="1:26" ht="15.75" customHeight="1" x14ac:dyDescent="0.35">
      <c r="A141" s="50"/>
      <c r="B141" s="53" t="s">
        <v>151</v>
      </c>
      <c r="C141" s="65"/>
      <c r="D141" s="125">
        <f t="shared" ref="D141:F141" si="102">D66</f>
        <v>50</v>
      </c>
      <c r="E141" s="125">
        <f t="shared" si="102"/>
        <v>50</v>
      </c>
      <c r="F141" s="125">
        <f t="shared" si="102"/>
        <v>50</v>
      </c>
      <c r="G141" s="126">
        <f t="shared" ref="G141:P141" si="103">IFERROR(F141*(1+$D$82),"")</f>
        <v>50.5</v>
      </c>
      <c r="H141" s="126">
        <f t="shared" si="103"/>
        <v>51.005000000000003</v>
      </c>
      <c r="I141" s="126">
        <f t="shared" si="103"/>
        <v>51.515050000000002</v>
      </c>
      <c r="J141" s="126">
        <f t="shared" si="103"/>
        <v>52.030200499999999</v>
      </c>
      <c r="K141" s="126">
        <f t="shared" si="103"/>
        <v>52.550502504999997</v>
      </c>
      <c r="L141" s="126">
        <f t="shared" si="103"/>
        <v>53.076007530049999</v>
      </c>
      <c r="M141" s="126">
        <f t="shared" si="103"/>
        <v>53.606767605350498</v>
      </c>
      <c r="N141" s="126">
        <f t="shared" si="103"/>
        <v>54.142835281404004</v>
      </c>
      <c r="O141" s="126">
        <f t="shared" si="103"/>
        <v>54.684263634218041</v>
      </c>
      <c r="P141" s="126">
        <f t="shared" si="103"/>
        <v>55.231106270560225</v>
      </c>
      <c r="Q141" s="50"/>
      <c r="R141" s="50"/>
      <c r="S141" s="50"/>
      <c r="T141" s="50"/>
      <c r="U141" s="50"/>
      <c r="V141" s="50"/>
      <c r="W141" s="50"/>
      <c r="X141" s="50"/>
      <c r="Y141" s="50"/>
      <c r="Z141" s="50"/>
    </row>
    <row r="142" spans="1:26" ht="15.75" customHeight="1" x14ac:dyDescent="0.35">
      <c r="A142" s="50"/>
      <c r="B142" s="53" t="s">
        <v>152</v>
      </c>
      <c r="C142" s="65"/>
      <c r="D142" s="125">
        <f t="shared" ref="D142:F142" si="104">D67</f>
        <v>50</v>
      </c>
      <c r="E142" s="125">
        <f t="shared" si="104"/>
        <v>50</v>
      </c>
      <c r="F142" s="125">
        <f t="shared" si="104"/>
        <v>50</v>
      </c>
      <c r="G142" s="126">
        <f t="shared" ref="G142:P142" si="105">IFERROR(F142*(1+$D$82),"")</f>
        <v>50.5</v>
      </c>
      <c r="H142" s="126">
        <f t="shared" si="105"/>
        <v>51.005000000000003</v>
      </c>
      <c r="I142" s="126">
        <f t="shared" si="105"/>
        <v>51.515050000000002</v>
      </c>
      <c r="J142" s="126">
        <f t="shared" si="105"/>
        <v>52.030200499999999</v>
      </c>
      <c r="K142" s="126">
        <f t="shared" si="105"/>
        <v>52.550502504999997</v>
      </c>
      <c r="L142" s="126">
        <f t="shared" si="105"/>
        <v>53.076007530049999</v>
      </c>
      <c r="M142" s="126">
        <f t="shared" si="105"/>
        <v>53.606767605350498</v>
      </c>
      <c r="N142" s="126">
        <f t="shared" si="105"/>
        <v>54.142835281404004</v>
      </c>
      <c r="O142" s="126">
        <f t="shared" si="105"/>
        <v>54.684263634218041</v>
      </c>
      <c r="P142" s="126">
        <f t="shared" si="105"/>
        <v>55.231106270560225</v>
      </c>
      <c r="Q142" s="50"/>
      <c r="R142" s="50"/>
      <c r="S142" s="50"/>
      <c r="T142" s="50"/>
      <c r="U142" s="50"/>
      <c r="V142" s="50"/>
      <c r="W142" s="50"/>
      <c r="X142" s="50"/>
      <c r="Y142" s="50"/>
      <c r="Z142" s="50"/>
    </row>
    <row r="143" spans="1:26" ht="15.75" customHeight="1" x14ac:dyDescent="0.35">
      <c r="A143" s="50"/>
      <c r="B143" s="53" t="s">
        <v>153</v>
      </c>
      <c r="C143" s="65"/>
      <c r="D143" s="125">
        <f t="shared" ref="D143:F143" si="106">D68</f>
        <v>50</v>
      </c>
      <c r="E143" s="125">
        <f t="shared" si="106"/>
        <v>50</v>
      </c>
      <c r="F143" s="125">
        <f t="shared" si="106"/>
        <v>50</v>
      </c>
      <c r="G143" s="126">
        <f t="shared" ref="G143:P143" si="107">IFERROR(F143*(1+$D$82),"")</f>
        <v>50.5</v>
      </c>
      <c r="H143" s="126">
        <f t="shared" si="107"/>
        <v>51.005000000000003</v>
      </c>
      <c r="I143" s="126">
        <f t="shared" si="107"/>
        <v>51.515050000000002</v>
      </c>
      <c r="J143" s="126">
        <f t="shared" si="107"/>
        <v>52.030200499999999</v>
      </c>
      <c r="K143" s="126">
        <f t="shared" si="107"/>
        <v>52.550502504999997</v>
      </c>
      <c r="L143" s="126">
        <f t="shared" si="107"/>
        <v>53.076007530049999</v>
      </c>
      <c r="M143" s="126">
        <f t="shared" si="107"/>
        <v>53.606767605350498</v>
      </c>
      <c r="N143" s="126">
        <f t="shared" si="107"/>
        <v>54.142835281404004</v>
      </c>
      <c r="O143" s="126">
        <f t="shared" si="107"/>
        <v>54.684263634218041</v>
      </c>
      <c r="P143" s="126">
        <f t="shared" si="107"/>
        <v>55.231106270560225</v>
      </c>
      <c r="Q143" s="50"/>
      <c r="R143" s="50"/>
      <c r="S143" s="50"/>
      <c r="T143" s="50"/>
      <c r="U143" s="50"/>
      <c r="V143" s="50"/>
      <c r="W143" s="50"/>
      <c r="X143" s="50"/>
      <c r="Y143" s="50"/>
      <c r="Z143" s="50"/>
    </row>
    <row r="144" spans="1:26" ht="15.75" customHeight="1" x14ac:dyDescent="0.35">
      <c r="A144" s="50"/>
      <c r="B144" s="53" t="s">
        <v>154</v>
      </c>
      <c r="C144" s="65"/>
      <c r="D144" s="125">
        <f t="shared" ref="D144:F144" si="108">D69</f>
        <v>50</v>
      </c>
      <c r="E144" s="125">
        <f t="shared" si="108"/>
        <v>50</v>
      </c>
      <c r="F144" s="125">
        <f t="shared" si="108"/>
        <v>50</v>
      </c>
      <c r="G144" s="126">
        <f t="shared" ref="G144:P144" si="109">IFERROR(F144*(1+$D$82),"")</f>
        <v>50.5</v>
      </c>
      <c r="H144" s="126">
        <f t="shared" si="109"/>
        <v>51.005000000000003</v>
      </c>
      <c r="I144" s="126">
        <f t="shared" si="109"/>
        <v>51.515050000000002</v>
      </c>
      <c r="J144" s="126">
        <f t="shared" si="109"/>
        <v>52.030200499999999</v>
      </c>
      <c r="K144" s="126">
        <f t="shared" si="109"/>
        <v>52.550502504999997</v>
      </c>
      <c r="L144" s="126">
        <f t="shared" si="109"/>
        <v>53.076007530049999</v>
      </c>
      <c r="M144" s="126">
        <f t="shared" si="109"/>
        <v>53.606767605350498</v>
      </c>
      <c r="N144" s="126">
        <f t="shared" si="109"/>
        <v>54.142835281404004</v>
      </c>
      <c r="O144" s="126">
        <f t="shared" si="109"/>
        <v>54.684263634218041</v>
      </c>
      <c r="P144" s="126">
        <f t="shared" si="109"/>
        <v>55.231106270560225</v>
      </c>
      <c r="Q144" s="50"/>
      <c r="R144" s="50"/>
      <c r="S144" s="50"/>
      <c r="T144" s="50"/>
      <c r="U144" s="50"/>
      <c r="V144" s="50"/>
      <c r="W144" s="50"/>
      <c r="X144" s="50"/>
      <c r="Y144" s="50"/>
      <c r="Z144" s="50"/>
    </row>
    <row r="145" spans="1:26" ht="15.75" customHeight="1" x14ac:dyDescent="0.35">
      <c r="A145" s="50"/>
      <c r="B145" s="53" t="s">
        <v>155</v>
      </c>
      <c r="C145" s="65"/>
      <c r="D145" s="125">
        <f t="shared" ref="D145:F145" si="110">D70</f>
        <v>50</v>
      </c>
      <c r="E145" s="125">
        <f t="shared" si="110"/>
        <v>50</v>
      </c>
      <c r="F145" s="125">
        <f t="shared" si="110"/>
        <v>50</v>
      </c>
      <c r="G145" s="126">
        <f t="shared" ref="G145:P145" si="111">IFERROR(F145*(1+$D$82),"")</f>
        <v>50.5</v>
      </c>
      <c r="H145" s="126">
        <f t="shared" si="111"/>
        <v>51.005000000000003</v>
      </c>
      <c r="I145" s="126">
        <f t="shared" si="111"/>
        <v>51.515050000000002</v>
      </c>
      <c r="J145" s="126">
        <f t="shared" si="111"/>
        <v>52.030200499999999</v>
      </c>
      <c r="K145" s="126">
        <f t="shared" si="111"/>
        <v>52.550502504999997</v>
      </c>
      <c r="L145" s="126">
        <f t="shared" si="111"/>
        <v>53.076007530049999</v>
      </c>
      <c r="M145" s="126">
        <f t="shared" si="111"/>
        <v>53.606767605350498</v>
      </c>
      <c r="N145" s="126">
        <f t="shared" si="111"/>
        <v>54.142835281404004</v>
      </c>
      <c r="O145" s="126">
        <f t="shared" si="111"/>
        <v>54.684263634218041</v>
      </c>
      <c r="P145" s="126">
        <f t="shared" si="111"/>
        <v>55.231106270560225</v>
      </c>
      <c r="Q145" s="50"/>
      <c r="R145" s="50"/>
      <c r="S145" s="50"/>
      <c r="T145" s="50"/>
      <c r="U145" s="50"/>
      <c r="V145" s="50"/>
      <c r="W145" s="50"/>
      <c r="X145" s="50"/>
      <c r="Y145" s="50"/>
      <c r="Z145" s="50"/>
    </row>
    <row r="146" spans="1:26" ht="15.75" customHeight="1" x14ac:dyDescent="0.35">
      <c r="A146" s="50"/>
      <c r="B146" s="53" t="s">
        <v>156</v>
      </c>
      <c r="C146" s="65"/>
      <c r="D146" s="125">
        <f t="shared" ref="D146:F146" si="112">D71</f>
        <v>50</v>
      </c>
      <c r="E146" s="125">
        <f t="shared" si="112"/>
        <v>50</v>
      </c>
      <c r="F146" s="125">
        <f t="shared" si="112"/>
        <v>50</v>
      </c>
      <c r="G146" s="126">
        <f t="shared" ref="G146:P146" si="113">IFERROR(F146*(1+$D$82),"")</f>
        <v>50.5</v>
      </c>
      <c r="H146" s="126">
        <f t="shared" si="113"/>
        <v>51.005000000000003</v>
      </c>
      <c r="I146" s="126">
        <f t="shared" si="113"/>
        <v>51.515050000000002</v>
      </c>
      <c r="J146" s="126">
        <f t="shared" si="113"/>
        <v>52.030200499999999</v>
      </c>
      <c r="K146" s="126">
        <f t="shared" si="113"/>
        <v>52.550502504999997</v>
      </c>
      <c r="L146" s="126">
        <f t="shared" si="113"/>
        <v>53.076007530049999</v>
      </c>
      <c r="M146" s="126">
        <f t="shared" si="113"/>
        <v>53.606767605350498</v>
      </c>
      <c r="N146" s="126">
        <f t="shared" si="113"/>
        <v>54.142835281404004</v>
      </c>
      <c r="O146" s="126">
        <f t="shared" si="113"/>
        <v>54.684263634218041</v>
      </c>
      <c r="P146" s="126">
        <f t="shared" si="113"/>
        <v>55.231106270560225</v>
      </c>
      <c r="Q146" s="50"/>
      <c r="R146" s="50"/>
      <c r="S146" s="50"/>
      <c r="T146" s="50"/>
      <c r="U146" s="50"/>
      <c r="V146" s="50"/>
      <c r="W146" s="50"/>
      <c r="X146" s="50"/>
      <c r="Y146" s="50"/>
      <c r="Z146" s="50"/>
    </row>
    <row r="147" spans="1:26" ht="15.75" customHeight="1" x14ac:dyDescent="0.35">
      <c r="A147" s="50"/>
      <c r="B147" s="161" t="s">
        <v>157</v>
      </c>
      <c r="C147" s="65"/>
      <c r="D147" s="125">
        <f t="shared" ref="D147:F147" si="114">D72</f>
        <v>50</v>
      </c>
      <c r="E147" s="125">
        <f t="shared" si="114"/>
        <v>50</v>
      </c>
      <c r="F147" s="125">
        <f t="shared" si="114"/>
        <v>50</v>
      </c>
      <c r="G147" s="126">
        <f t="shared" ref="G147:P147" si="115">IFERROR(F147*(1+$D$82),"")</f>
        <v>50.5</v>
      </c>
      <c r="H147" s="126">
        <f t="shared" si="115"/>
        <v>51.005000000000003</v>
      </c>
      <c r="I147" s="126">
        <f t="shared" si="115"/>
        <v>51.515050000000002</v>
      </c>
      <c r="J147" s="126">
        <f t="shared" si="115"/>
        <v>52.030200499999999</v>
      </c>
      <c r="K147" s="126">
        <f t="shared" si="115"/>
        <v>52.550502504999997</v>
      </c>
      <c r="L147" s="126">
        <f t="shared" si="115"/>
        <v>53.076007530049999</v>
      </c>
      <c r="M147" s="126">
        <f t="shared" si="115"/>
        <v>53.606767605350498</v>
      </c>
      <c r="N147" s="126">
        <f t="shared" si="115"/>
        <v>54.142835281404004</v>
      </c>
      <c r="O147" s="126">
        <f t="shared" si="115"/>
        <v>54.684263634218041</v>
      </c>
      <c r="P147" s="126">
        <f t="shared" si="115"/>
        <v>55.231106270560225</v>
      </c>
      <c r="Q147" s="50"/>
      <c r="R147" s="50"/>
      <c r="S147" s="50"/>
      <c r="T147" s="50"/>
      <c r="U147" s="50"/>
      <c r="V147" s="50"/>
      <c r="W147" s="50"/>
      <c r="X147" s="50"/>
      <c r="Y147" s="50"/>
      <c r="Z147" s="50"/>
    </row>
    <row r="148" spans="1:26" ht="15.75" customHeight="1" x14ac:dyDescent="0.35">
      <c r="A148" s="50"/>
      <c r="B148" s="53" t="s">
        <v>158</v>
      </c>
      <c r="C148" s="65"/>
      <c r="D148" s="125">
        <f t="shared" ref="D148:F148" si="116">D73</f>
        <v>50</v>
      </c>
      <c r="E148" s="125">
        <f t="shared" si="116"/>
        <v>50</v>
      </c>
      <c r="F148" s="125">
        <f t="shared" si="116"/>
        <v>50</v>
      </c>
      <c r="G148" s="126">
        <f t="shared" ref="G148:P148" si="117">IFERROR(F148*(1+$D$82),"")</f>
        <v>50.5</v>
      </c>
      <c r="H148" s="126">
        <f t="shared" si="117"/>
        <v>51.005000000000003</v>
      </c>
      <c r="I148" s="126">
        <f t="shared" si="117"/>
        <v>51.515050000000002</v>
      </c>
      <c r="J148" s="126">
        <f t="shared" si="117"/>
        <v>52.030200499999999</v>
      </c>
      <c r="K148" s="126">
        <f t="shared" si="117"/>
        <v>52.550502504999997</v>
      </c>
      <c r="L148" s="126">
        <f t="shared" si="117"/>
        <v>53.076007530049999</v>
      </c>
      <c r="M148" s="126">
        <f t="shared" si="117"/>
        <v>53.606767605350498</v>
      </c>
      <c r="N148" s="126">
        <f t="shared" si="117"/>
        <v>54.142835281404004</v>
      </c>
      <c r="O148" s="126">
        <f t="shared" si="117"/>
        <v>54.684263634218041</v>
      </c>
      <c r="P148" s="126">
        <f t="shared" si="117"/>
        <v>55.231106270560225</v>
      </c>
      <c r="Q148" s="50"/>
      <c r="R148" s="50"/>
      <c r="S148" s="50"/>
      <c r="T148" s="50"/>
      <c r="U148" s="50"/>
      <c r="V148" s="50"/>
      <c r="W148" s="50"/>
      <c r="X148" s="50"/>
      <c r="Y148" s="50"/>
      <c r="Z148" s="50"/>
    </row>
    <row r="149" spans="1:26" ht="15.75" customHeight="1" x14ac:dyDescent="0.35">
      <c r="A149" s="50"/>
      <c r="B149" s="62" t="s">
        <v>135</v>
      </c>
      <c r="C149" s="54"/>
      <c r="D149" s="128"/>
      <c r="E149" s="50"/>
      <c r="F149" s="50"/>
      <c r="G149" s="50"/>
      <c r="H149" s="50"/>
      <c r="I149" s="50"/>
      <c r="J149" s="50"/>
      <c r="K149" s="50"/>
      <c r="L149" s="50"/>
      <c r="M149" s="50"/>
      <c r="N149" s="50"/>
      <c r="O149" s="50"/>
      <c r="P149" s="115"/>
      <c r="Q149" s="50"/>
      <c r="R149" s="50"/>
      <c r="S149" s="50"/>
      <c r="T149" s="50"/>
      <c r="U149" s="50"/>
      <c r="V149" s="50"/>
      <c r="W149" s="50"/>
      <c r="X149" s="50"/>
      <c r="Y149" s="50"/>
      <c r="Z149" s="50"/>
    </row>
    <row r="150" spans="1:26" ht="15.75" customHeight="1" x14ac:dyDescent="0.35">
      <c r="A150" s="50"/>
      <c r="B150" s="53" t="s">
        <v>145</v>
      </c>
      <c r="C150" s="54"/>
      <c r="D150" s="126">
        <f t="shared" ref="D150:P150" si="118">IFERROR(D104-D135,"")</f>
        <v>50</v>
      </c>
      <c r="E150" s="126">
        <f t="shared" si="118"/>
        <v>50</v>
      </c>
      <c r="F150" s="126">
        <f t="shared" si="118"/>
        <v>50</v>
      </c>
      <c r="G150" s="126">
        <f t="shared" si="118"/>
        <v>50.5</v>
      </c>
      <c r="H150" s="126">
        <f t="shared" si="118"/>
        <v>51.005000000000003</v>
      </c>
      <c r="I150" s="126">
        <f t="shared" si="118"/>
        <v>51.515050000000002</v>
      </c>
      <c r="J150" s="126">
        <f t="shared" si="118"/>
        <v>52.030200499999999</v>
      </c>
      <c r="K150" s="126">
        <f t="shared" si="118"/>
        <v>52.550502504999997</v>
      </c>
      <c r="L150" s="126">
        <f t="shared" si="118"/>
        <v>53.076007530049999</v>
      </c>
      <c r="M150" s="126">
        <f t="shared" si="118"/>
        <v>53.606767605350498</v>
      </c>
      <c r="N150" s="126">
        <f t="shared" si="118"/>
        <v>54.142835281404004</v>
      </c>
      <c r="O150" s="126">
        <f t="shared" si="118"/>
        <v>54.684263634218041</v>
      </c>
      <c r="P150" s="126">
        <f t="shared" si="118"/>
        <v>55.231106270560225</v>
      </c>
      <c r="Q150" s="50"/>
      <c r="R150" s="50"/>
      <c r="S150" s="50"/>
      <c r="T150" s="50"/>
      <c r="U150" s="50"/>
      <c r="V150" s="50"/>
      <c r="W150" s="50"/>
      <c r="X150" s="50"/>
      <c r="Y150" s="50"/>
      <c r="Z150" s="50"/>
    </row>
    <row r="151" spans="1:26" ht="15.75" customHeight="1" x14ac:dyDescent="0.35">
      <c r="A151" s="50"/>
      <c r="B151" s="53" t="s">
        <v>146</v>
      </c>
      <c r="C151" s="54"/>
      <c r="D151" s="126">
        <f t="shared" ref="D151:P151" si="119">IFERROR(D105-D136,"")</f>
        <v>50</v>
      </c>
      <c r="E151" s="126">
        <f t="shared" si="119"/>
        <v>50</v>
      </c>
      <c r="F151" s="126">
        <f t="shared" si="119"/>
        <v>50</v>
      </c>
      <c r="G151" s="126">
        <f t="shared" si="119"/>
        <v>50.5</v>
      </c>
      <c r="H151" s="126">
        <f t="shared" si="119"/>
        <v>51.005000000000003</v>
      </c>
      <c r="I151" s="126">
        <f t="shared" si="119"/>
        <v>51.515050000000002</v>
      </c>
      <c r="J151" s="126">
        <f t="shared" si="119"/>
        <v>52.030200499999999</v>
      </c>
      <c r="K151" s="126">
        <f t="shared" si="119"/>
        <v>52.550502504999997</v>
      </c>
      <c r="L151" s="126">
        <f t="shared" si="119"/>
        <v>53.076007530049999</v>
      </c>
      <c r="M151" s="126">
        <f t="shared" si="119"/>
        <v>53.606767605350498</v>
      </c>
      <c r="N151" s="126">
        <f t="shared" si="119"/>
        <v>54.142835281404004</v>
      </c>
      <c r="O151" s="126">
        <f t="shared" si="119"/>
        <v>54.684263634218041</v>
      </c>
      <c r="P151" s="126">
        <f t="shared" si="119"/>
        <v>55.231106270560225</v>
      </c>
      <c r="Q151" s="50"/>
      <c r="R151" s="50"/>
      <c r="S151" s="50"/>
      <c r="T151" s="50"/>
      <c r="U151" s="50"/>
      <c r="V151" s="50"/>
      <c r="W151" s="50"/>
      <c r="X151" s="50"/>
      <c r="Y151" s="50"/>
      <c r="Z151" s="50"/>
    </row>
    <row r="152" spans="1:26" ht="15.75" customHeight="1" x14ac:dyDescent="0.35">
      <c r="A152" s="50"/>
      <c r="B152" s="53" t="s">
        <v>147</v>
      </c>
      <c r="C152" s="54"/>
      <c r="D152" s="126">
        <f t="shared" ref="D152:P152" si="120">IFERROR(D106-D137,"")</f>
        <v>50</v>
      </c>
      <c r="E152" s="126">
        <f t="shared" si="120"/>
        <v>50</v>
      </c>
      <c r="F152" s="126">
        <f t="shared" si="120"/>
        <v>50</v>
      </c>
      <c r="G152" s="126">
        <f t="shared" si="120"/>
        <v>50.5</v>
      </c>
      <c r="H152" s="126">
        <f t="shared" si="120"/>
        <v>51.005000000000003</v>
      </c>
      <c r="I152" s="126">
        <f t="shared" si="120"/>
        <v>51.515050000000002</v>
      </c>
      <c r="J152" s="126">
        <f t="shared" si="120"/>
        <v>52.030200499999999</v>
      </c>
      <c r="K152" s="126">
        <f t="shared" si="120"/>
        <v>52.550502504999997</v>
      </c>
      <c r="L152" s="126">
        <f t="shared" si="120"/>
        <v>53.076007530049999</v>
      </c>
      <c r="M152" s="126">
        <f t="shared" si="120"/>
        <v>53.606767605350498</v>
      </c>
      <c r="N152" s="126">
        <f t="shared" si="120"/>
        <v>54.142835281404004</v>
      </c>
      <c r="O152" s="126">
        <f t="shared" si="120"/>
        <v>54.684263634218041</v>
      </c>
      <c r="P152" s="126">
        <f t="shared" si="120"/>
        <v>55.231106270560225</v>
      </c>
      <c r="Q152" s="50"/>
      <c r="R152" s="50"/>
      <c r="S152" s="50"/>
      <c r="T152" s="50"/>
      <c r="U152" s="50"/>
      <c r="V152" s="50"/>
      <c r="W152" s="50"/>
      <c r="X152" s="50"/>
      <c r="Y152" s="50"/>
      <c r="Z152" s="50"/>
    </row>
    <row r="153" spans="1:26" ht="15.75" customHeight="1" x14ac:dyDescent="0.35">
      <c r="A153" s="50"/>
      <c r="B153" s="53" t="s">
        <v>148</v>
      </c>
      <c r="C153" s="54"/>
      <c r="D153" s="126">
        <f t="shared" ref="D153:P153" si="121">IFERROR(D107-D138,"")</f>
        <v>50</v>
      </c>
      <c r="E153" s="126">
        <f t="shared" si="121"/>
        <v>50</v>
      </c>
      <c r="F153" s="126">
        <f t="shared" si="121"/>
        <v>50</v>
      </c>
      <c r="G153" s="126">
        <f t="shared" si="121"/>
        <v>50.5</v>
      </c>
      <c r="H153" s="126">
        <f t="shared" si="121"/>
        <v>51.005000000000003</v>
      </c>
      <c r="I153" s="126">
        <f t="shared" si="121"/>
        <v>51.515050000000002</v>
      </c>
      <c r="J153" s="126">
        <f t="shared" si="121"/>
        <v>52.030200499999999</v>
      </c>
      <c r="K153" s="126">
        <f t="shared" si="121"/>
        <v>52.550502504999997</v>
      </c>
      <c r="L153" s="126">
        <f t="shared" si="121"/>
        <v>53.076007530049999</v>
      </c>
      <c r="M153" s="126">
        <f t="shared" si="121"/>
        <v>53.606767605350498</v>
      </c>
      <c r="N153" s="126">
        <f t="shared" si="121"/>
        <v>54.142835281404004</v>
      </c>
      <c r="O153" s="126">
        <f t="shared" si="121"/>
        <v>54.684263634218041</v>
      </c>
      <c r="P153" s="126">
        <f t="shared" si="121"/>
        <v>55.231106270560225</v>
      </c>
      <c r="Q153" s="50"/>
      <c r="R153" s="50"/>
      <c r="S153" s="50"/>
      <c r="T153" s="50"/>
      <c r="U153" s="50"/>
      <c r="V153" s="50"/>
      <c r="W153" s="50"/>
      <c r="X153" s="50"/>
      <c r="Y153" s="50"/>
      <c r="Z153" s="50"/>
    </row>
    <row r="154" spans="1:26" ht="15.75" customHeight="1" x14ac:dyDescent="0.35">
      <c r="A154" s="50"/>
      <c r="B154" s="53" t="s">
        <v>149</v>
      </c>
      <c r="C154" s="54"/>
      <c r="D154" s="126">
        <f t="shared" ref="D154:P154" si="122">IFERROR(D108-D139,"")</f>
        <v>50</v>
      </c>
      <c r="E154" s="126">
        <f t="shared" si="122"/>
        <v>50</v>
      </c>
      <c r="F154" s="126">
        <f t="shared" si="122"/>
        <v>50</v>
      </c>
      <c r="G154" s="126">
        <f t="shared" si="122"/>
        <v>50.5</v>
      </c>
      <c r="H154" s="126">
        <f t="shared" si="122"/>
        <v>51.005000000000003</v>
      </c>
      <c r="I154" s="126">
        <f t="shared" si="122"/>
        <v>51.515050000000002</v>
      </c>
      <c r="J154" s="126">
        <f t="shared" si="122"/>
        <v>52.030200499999999</v>
      </c>
      <c r="K154" s="126">
        <f t="shared" si="122"/>
        <v>52.550502504999997</v>
      </c>
      <c r="L154" s="126">
        <f t="shared" si="122"/>
        <v>53.076007530049999</v>
      </c>
      <c r="M154" s="126">
        <f t="shared" si="122"/>
        <v>53.606767605350498</v>
      </c>
      <c r="N154" s="126">
        <f t="shared" si="122"/>
        <v>54.142835281404004</v>
      </c>
      <c r="O154" s="126">
        <f t="shared" si="122"/>
        <v>54.684263634218041</v>
      </c>
      <c r="P154" s="126">
        <f t="shared" si="122"/>
        <v>55.231106270560225</v>
      </c>
      <c r="Q154" s="50"/>
      <c r="R154" s="50"/>
      <c r="S154" s="50"/>
      <c r="T154" s="50"/>
      <c r="U154" s="50"/>
      <c r="V154" s="50"/>
      <c r="W154" s="50"/>
      <c r="X154" s="50"/>
      <c r="Y154" s="50"/>
      <c r="Z154" s="50"/>
    </row>
    <row r="155" spans="1:26" ht="15.75" customHeight="1" x14ac:dyDescent="0.35">
      <c r="A155" s="50"/>
      <c r="B155" s="53" t="s">
        <v>150</v>
      </c>
      <c r="C155" s="54"/>
      <c r="D155" s="126">
        <f t="shared" ref="D155:P155" si="123">IFERROR(D109-D140,"")</f>
        <v>50</v>
      </c>
      <c r="E155" s="126">
        <f t="shared" si="123"/>
        <v>50</v>
      </c>
      <c r="F155" s="126">
        <f t="shared" si="123"/>
        <v>50</v>
      </c>
      <c r="G155" s="126">
        <f t="shared" si="123"/>
        <v>50.5</v>
      </c>
      <c r="H155" s="126">
        <f t="shared" si="123"/>
        <v>51.005000000000003</v>
      </c>
      <c r="I155" s="126">
        <f t="shared" si="123"/>
        <v>51.515050000000002</v>
      </c>
      <c r="J155" s="126">
        <f t="shared" si="123"/>
        <v>52.030200499999999</v>
      </c>
      <c r="K155" s="126">
        <f t="shared" si="123"/>
        <v>52.550502504999997</v>
      </c>
      <c r="L155" s="126">
        <f t="shared" si="123"/>
        <v>53.076007530049999</v>
      </c>
      <c r="M155" s="126">
        <f t="shared" si="123"/>
        <v>53.606767605350498</v>
      </c>
      <c r="N155" s="126">
        <f t="shared" si="123"/>
        <v>54.142835281404004</v>
      </c>
      <c r="O155" s="126">
        <f t="shared" si="123"/>
        <v>54.684263634218041</v>
      </c>
      <c r="P155" s="126">
        <f t="shared" si="123"/>
        <v>55.231106270560225</v>
      </c>
      <c r="Q155" s="50"/>
      <c r="R155" s="50"/>
      <c r="S155" s="50"/>
      <c r="T155" s="50"/>
      <c r="U155" s="50"/>
      <c r="V155" s="50"/>
      <c r="W155" s="50"/>
      <c r="X155" s="50"/>
      <c r="Y155" s="50"/>
      <c r="Z155" s="50"/>
    </row>
    <row r="156" spans="1:26" ht="15.75" customHeight="1" x14ac:dyDescent="0.35">
      <c r="A156" s="50"/>
      <c r="B156" s="53" t="s">
        <v>151</v>
      </c>
      <c r="C156" s="54"/>
      <c r="D156" s="126">
        <f t="shared" ref="D156:P156" si="124">IFERROR(D110-D141,"")</f>
        <v>50</v>
      </c>
      <c r="E156" s="126">
        <f t="shared" si="124"/>
        <v>50</v>
      </c>
      <c r="F156" s="126">
        <f t="shared" si="124"/>
        <v>50</v>
      </c>
      <c r="G156" s="126">
        <f t="shared" si="124"/>
        <v>50.5</v>
      </c>
      <c r="H156" s="126">
        <f t="shared" si="124"/>
        <v>51.005000000000003</v>
      </c>
      <c r="I156" s="126">
        <f t="shared" si="124"/>
        <v>51.515050000000002</v>
      </c>
      <c r="J156" s="126">
        <f t="shared" si="124"/>
        <v>52.030200499999999</v>
      </c>
      <c r="K156" s="126">
        <f t="shared" si="124"/>
        <v>52.550502504999997</v>
      </c>
      <c r="L156" s="126">
        <f t="shared" si="124"/>
        <v>53.076007530049999</v>
      </c>
      <c r="M156" s="126">
        <f t="shared" si="124"/>
        <v>53.606767605350498</v>
      </c>
      <c r="N156" s="126">
        <f t="shared" si="124"/>
        <v>54.142835281404004</v>
      </c>
      <c r="O156" s="126">
        <f t="shared" si="124"/>
        <v>54.684263634218041</v>
      </c>
      <c r="P156" s="126">
        <f t="shared" si="124"/>
        <v>55.231106270560225</v>
      </c>
      <c r="Q156" s="50"/>
      <c r="R156" s="50"/>
      <c r="S156" s="50"/>
      <c r="T156" s="50"/>
      <c r="U156" s="50"/>
      <c r="V156" s="50"/>
      <c r="W156" s="50"/>
      <c r="X156" s="50"/>
      <c r="Y156" s="50"/>
      <c r="Z156" s="50"/>
    </row>
    <row r="157" spans="1:26" ht="15.75" customHeight="1" x14ac:dyDescent="0.35">
      <c r="A157" s="50"/>
      <c r="B157" s="53" t="s">
        <v>152</v>
      </c>
      <c r="C157" s="54"/>
      <c r="D157" s="126">
        <f t="shared" ref="D157:P157" si="125">IFERROR(D111-D142,"")</f>
        <v>50</v>
      </c>
      <c r="E157" s="126">
        <f t="shared" si="125"/>
        <v>50</v>
      </c>
      <c r="F157" s="126">
        <f t="shared" si="125"/>
        <v>50</v>
      </c>
      <c r="G157" s="126">
        <f t="shared" si="125"/>
        <v>50.5</v>
      </c>
      <c r="H157" s="126">
        <f t="shared" si="125"/>
        <v>51.005000000000003</v>
      </c>
      <c r="I157" s="126">
        <f t="shared" si="125"/>
        <v>51.515050000000002</v>
      </c>
      <c r="J157" s="126">
        <f t="shared" si="125"/>
        <v>52.030200499999999</v>
      </c>
      <c r="K157" s="126">
        <f t="shared" si="125"/>
        <v>52.550502504999997</v>
      </c>
      <c r="L157" s="126">
        <f t="shared" si="125"/>
        <v>53.076007530049999</v>
      </c>
      <c r="M157" s="126">
        <f t="shared" si="125"/>
        <v>53.606767605350498</v>
      </c>
      <c r="N157" s="126">
        <f t="shared" si="125"/>
        <v>54.142835281404004</v>
      </c>
      <c r="O157" s="126">
        <f t="shared" si="125"/>
        <v>54.684263634218041</v>
      </c>
      <c r="P157" s="126">
        <f t="shared" si="125"/>
        <v>55.231106270560225</v>
      </c>
      <c r="Q157" s="50"/>
      <c r="R157" s="50"/>
      <c r="S157" s="50"/>
      <c r="T157" s="50"/>
      <c r="U157" s="50"/>
      <c r="V157" s="50"/>
      <c r="W157" s="50"/>
      <c r="X157" s="50"/>
      <c r="Y157" s="50"/>
      <c r="Z157" s="50"/>
    </row>
    <row r="158" spans="1:26" ht="15.75" customHeight="1" x14ac:dyDescent="0.35">
      <c r="A158" s="50"/>
      <c r="B158" s="53" t="s">
        <v>153</v>
      </c>
      <c r="C158" s="54"/>
      <c r="D158" s="126">
        <f t="shared" ref="D158:P158" si="126">IFERROR(D112-D143,"")</f>
        <v>50</v>
      </c>
      <c r="E158" s="126">
        <f t="shared" si="126"/>
        <v>50</v>
      </c>
      <c r="F158" s="126">
        <f t="shared" si="126"/>
        <v>50</v>
      </c>
      <c r="G158" s="126">
        <f t="shared" si="126"/>
        <v>50.5</v>
      </c>
      <c r="H158" s="126">
        <f t="shared" si="126"/>
        <v>51.005000000000003</v>
      </c>
      <c r="I158" s="126">
        <f t="shared" si="126"/>
        <v>51.515050000000002</v>
      </c>
      <c r="J158" s="126">
        <f t="shared" si="126"/>
        <v>52.030200499999999</v>
      </c>
      <c r="K158" s="126">
        <f t="shared" si="126"/>
        <v>52.550502504999997</v>
      </c>
      <c r="L158" s="126">
        <f t="shared" si="126"/>
        <v>53.076007530049999</v>
      </c>
      <c r="M158" s="126">
        <f t="shared" si="126"/>
        <v>53.606767605350498</v>
      </c>
      <c r="N158" s="126">
        <f t="shared" si="126"/>
        <v>54.142835281404004</v>
      </c>
      <c r="O158" s="126">
        <f t="shared" si="126"/>
        <v>54.684263634218041</v>
      </c>
      <c r="P158" s="126">
        <f t="shared" si="126"/>
        <v>55.231106270560225</v>
      </c>
      <c r="Q158" s="50"/>
      <c r="R158" s="50"/>
      <c r="S158" s="50"/>
      <c r="T158" s="50"/>
      <c r="U158" s="50"/>
      <c r="V158" s="50"/>
      <c r="W158" s="50"/>
      <c r="X158" s="50"/>
      <c r="Y158" s="50"/>
      <c r="Z158" s="50"/>
    </row>
    <row r="159" spans="1:26" ht="15.75" customHeight="1" x14ac:dyDescent="0.35">
      <c r="A159" s="50"/>
      <c r="B159" s="53" t="s">
        <v>154</v>
      </c>
      <c r="C159" s="50"/>
      <c r="D159" s="126">
        <f t="shared" ref="D159:P159" si="127">IFERROR(D113-D144,"")</f>
        <v>50</v>
      </c>
      <c r="E159" s="126">
        <f t="shared" si="127"/>
        <v>50</v>
      </c>
      <c r="F159" s="126">
        <f t="shared" si="127"/>
        <v>50</v>
      </c>
      <c r="G159" s="126">
        <f t="shared" si="127"/>
        <v>50.5</v>
      </c>
      <c r="H159" s="126">
        <f t="shared" si="127"/>
        <v>51.005000000000003</v>
      </c>
      <c r="I159" s="126">
        <f t="shared" si="127"/>
        <v>51.515050000000002</v>
      </c>
      <c r="J159" s="126">
        <f t="shared" si="127"/>
        <v>52.030200499999999</v>
      </c>
      <c r="K159" s="126">
        <f t="shared" si="127"/>
        <v>52.550502504999997</v>
      </c>
      <c r="L159" s="126">
        <f t="shared" si="127"/>
        <v>53.076007530049999</v>
      </c>
      <c r="M159" s="126">
        <f t="shared" si="127"/>
        <v>53.606767605350498</v>
      </c>
      <c r="N159" s="126">
        <f t="shared" si="127"/>
        <v>54.142835281404004</v>
      </c>
      <c r="O159" s="126">
        <f t="shared" si="127"/>
        <v>54.684263634218041</v>
      </c>
      <c r="P159" s="126">
        <f t="shared" si="127"/>
        <v>55.231106270560225</v>
      </c>
      <c r="Q159" s="50"/>
      <c r="R159" s="50"/>
      <c r="S159" s="50"/>
      <c r="T159" s="50"/>
      <c r="U159" s="50"/>
      <c r="V159" s="50"/>
      <c r="W159" s="50"/>
      <c r="X159" s="50"/>
      <c r="Y159" s="50"/>
      <c r="Z159" s="50"/>
    </row>
    <row r="160" spans="1:26" ht="15.75" customHeight="1" x14ac:dyDescent="0.35">
      <c r="A160" s="50"/>
      <c r="B160" s="53" t="s">
        <v>155</v>
      </c>
      <c r="C160" s="47"/>
      <c r="D160" s="126">
        <f t="shared" ref="D160:P160" si="128">IFERROR(D114-D145,"")</f>
        <v>50</v>
      </c>
      <c r="E160" s="126">
        <f t="shared" si="128"/>
        <v>50</v>
      </c>
      <c r="F160" s="126">
        <f t="shared" si="128"/>
        <v>50</v>
      </c>
      <c r="G160" s="126">
        <f t="shared" si="128"/>
        <v>50.5</v>
      </c>
      <c r="H160" s="126">
        <f t="shared" si="128"/>
        <v>51.005000000000003</v>
      </c>
      <c r="I160" s="126">
        <f t="shared" si="128"/>
        <v>51.515050000000002</v>
      </c>
      <c r="J160" s="126">
        <f t="shared" si="128"/>
        <v>52.030200499999999</v>
      </c>
      <c r="K160" s="126">
        <f t="shared" si="128"/>
        <v>52.550502504999997</v>
      </c>
      <c r="L160" s="126">
        <f t="shared" si="128"/>
        <v>53.076007530049999</v>
      </c>
      <c r="M160" s="126">
        <f t="shared" si="128"/>
        <v>53.606767605350498</v>
      </c>
      <c r="N160" s="126">
        <f t="shared" si="128"/>
        <v>54.142835281404004</v>
      </c>
      <c r="O160" s="126">
        <f t="shared" si="128"/>
        <v>54.684263634218041</v>
      </c>
      <c r="P160" s="126">
        <f t="shared" si="128"/>
        <v>55.231106270560225</v>
      </c>
      <c r="Q160" s="50"/>
      <c r="R160" s="50"/>
      <c r="S160" s="50"/>
      <c r="T160" s="50"/>
      <c r="U160" s="50"/>
      <c r="V160" s="50"/>
      <c r="W160" s="50"/>
      <c r="X160" s="50"/>
      <c r="Y160" s="50"/>
      <c r="Z160" s="50"/>
    </row>
    <row r="161" spans="1:26" ht="15.75" customHeight="1" x14ac:dyDescent="0.35">
      <c r="A161" s="50"/>
      <c r="B161" s="53" t="s">
        <v>156</v>
      </c>
      <c r="C161" s="47"/>
      <c r="D161" s="126">
        <f t="shared" ref="D161:P161" si="129">IFERROR(D115-D146,"")</f>
        <v>50</v>
      </c>
      <c r="E161" s="126">
        <f t="shared" si="129"/>
        <v>50</v>
      </c>
      <c r="F161" s="126">
        <f t="shared" si="129"/>
        <v>50</v>
      </c>
      <c r="G161" s="126">
        <f t="shared" si="129"/>
        <v>50.5</v>
      </c>
      <c r="H161" s="126">
        <f t="shared" si="129"/>
        <v>51.005000000000003</v>
      </c>
      <c r="I161" s="126">
        <f t="shared" si="129"/>
        <v>51.515050000000002</v>
      </c>
      <c r="J161" s="126">
        <f t="shared" si="129"/>
        <v>52.030200499999999</v>
      </c>
      <c r="K161" s="126">
        <f t="shared" si="129"/>
        <v>52.550502504999997</v>
      </c>
      <c r="L161" s="126">
        <f t="shared" si="129"/>
        <v>53.076007530049999</v>
      </c>
      <c r="M161" s="126">
        <f t="shared" si="129"/>
        <v>53.606767605350498</v>
      </c>
      <c r="N161" s="126">
        <f t="shared" si="129"/>
        <v>54.142835281404004</v>
      </c>
      <c r="O161" s="126">
        <f t="shared" si="129"/>
        <v>54.684263634218041</v>
      </c>
      <c r="P161" s="126">
        <f t="shared" si="129"/>
        <v>55.231106270560225</v>
      </c>
      <c r="Q161" s="50"/>
      <c r="R161" s="50"/>
      <c r="S161" s="50"/>
      <c r="T161" s="50"/>
      <c r="U161" s="50"/>
      <c r="V161" s="50"/>
      <c r="W161" s="50"/>
      <c r="X161" s="50"/>
      <c r="Y161" s="50"/>
      <c r="Z161" s="50"/>
    </row>
    <row r="162" spans="1:26" ht="15.75" customHeight="1" x14ac:dyDescent="0.35">
      <c r="A162" s="50"/>
      <c r="B162" s="161" t="s">
        <v>157</v>
      </c>
      <c r="C162" s="47"/>
      <c r="D162" s="126">
        <f t="shared" ref="D162:P162" si="130">IFERROR(D116-D147,"")</f>
        <v>50</v>
      </c>
      <c r="E162" s="126">
        <f t="shared" si="130"/>
        <v>50</v>
      </c>
      <c r="F162" s="126">
        <f t="shared" si="130"/>
        <v>50</v>
      </c>
      <c r="G162" s="126">
        <f t="shared" si="130"/>
        <v>50.5</v>
      </c>
      <c r="H162" s="126">
        <f t="shared" si="130"/>
        <v>51.005000000000003</v>
      </c>
      <c r="I162" s="126">
        <f t="shared" si="130"/>
        <v>51.515050000000002</v>
      </c>
      <c r="J162" s="126">
        <f t="shared" si="130"/>
        <v>52.030200499999999</v>
      </c>
      <c r="K162" s="126">
        <f t="shared" si="130"/>
        <v>52.550502504999997</v>
      </c>
      <c r="L162" s="126">
        <f t="shared" si="130"/>
        <v>53.076007530049999</v>
      </c>
      <c r="M162" s="126">
        <f t="shared" si="130"/>
        <v>53.606767605350498</v>
      </c>
      <c r="N162" s="126">
        <f t="shared" si="130"/>
        <v>54.142835281404004</v>
      </c>
      <c r="O162" s="126">
        <f t="shared" si="130"/>
        <v>54.684263634218041</v>
      </c>
      <c r="P162" s="126">
        <f t="shared" si="130"/>
        <v>55.231106270560225</v>
      </c>
      <c r="Q162" s="50"/>
      <c r="R162" s="50"/>
      <c r="S162" s="50"/>
      <c r="T162" s="50"/>
      <c r="U162" s="50"/>
      <c r="V162" s="50"/>
      <c r="W162" s="50"/>
      <c r="X162" s="50"/>
      <c r="Y162" s="50"/>
      <c r="Z162" s="50"/>
    </row>
    <row r="163" spans="1:26" ht="15.75" customHeight="1" x14ac:dyDescent="0.35">
      <c r="A163" s="50"/>
      <c r="B163" s="53" t="s">
        <v>158</v>
      </c>
      <c r="C163" s="47"/>
      <c r="D163" s="126">
        <f t="shared" ref="D163:P163" si="131">IFERROR(D117-D148,"")</f>
        <v>50</v>
      </c>
      <c r="E163" s="126">
        <f t="shared" si="131"/>
        <v>50</v>
      </c>
      <c r="F163" s="126">
        <f t="shared" si="131"/>
        <v>50</v>
      </c>
      <c r="G163" s="126">
        <f t="shared" si="131"/>
        <v>50.5</v>
      </c>
      <c r="H163" s="126">
        <f t="shared" si="131"/>
        <v>51.005000000000003</v>
      </c>
      <c r="I163" s="126">
        <f t="shared" si="131"/>
        <v>51.515050000000002</v>
      </c>
      <c r="J163" s="126">
        <f t="shared" si="131"/>
        <v>52.030200499999999</v>
      </c>
      <c r="K163" s="126">
        <f t="shared" si="131"/>
        <v>52.550502504999997</v>
      </c>
      <c r="L163" s="126">
        <f t="shared" si="131"/>
        <v>53.076007530049999</v>
      </c>
      <c r="M163" s="126">
        <f t="shared" si="131"/>
        <v>53.606767605350498</v>
      </c>
      <c r="N163" s="126">
        <f t="shared" si="131"/>
        <v>54.142835281404004</v>
      </c>
      <c r="O163" s="126">
        <f t="shared" si="131"/>
        <v>54.684263634218041</v>
      </c>
      <c r="P163" s="126">
        <f t="shared" si="131"/>
        <v>55.231106270560225</v>
      </c>
      <c r="Q163" s="50"/>
      <c r="R163" s="50"/>
      <c r="S163" s="50"/>
      <c r="T163" s="50"/>
      <c r="U163" s="50"/>
      <c r="V163" s="50"/>
      <c r="W163" s="50"/>
      <c r="X163" s="50"/>
      <c r="Y163" s="50"/>
      <c r="Z163" s="50"/>
    </row>
    <row r="164" spans="1:26" ht="15.75" customHeight="1" x14ac:dyDescent="0.35">
      <c r="A164" s="50"/>
      <c r="B164" s="46" t="s">
        <v>136</v>
      </c>
      <c r="C164" s="47"/>
      <c r="D164" s="120"/>
      <c r="E164" s="120"/>
      <c r="F164" s="120"/>
      <c r="G164" s="120"/>
      <c r="H164" s="120"/>
      <c r="I164" s="120"/>
      <c r="J164" s="120"/>
      <c r="K164" s="120"/>
      <c r="L164" s="120"/>
      <c r="M164" s="120"/>
      <c r="N164" s="50"/>
      <c r="O164" s="50"/>
      <c r="P164" s="115"/>
      <c r="Q164" s="50"/>
      <c r="R164" s="50"/>
      <c r="S164" s="50"/>
      <c r="T164" s="50"/>
      <c r="U164" s="50"/>
      <c r="V164" s="50"/>
      <c r="W164" s="50"/>
      <c r="X164" s="50"/>
      <c r="Y164" s="50"/>
      <c r="Z164" s="50"/>
    </row>
    <row r="165" spans="1:26" ht="15.75" customHeight="1" x14ac:dyDescent="0.35">
      <c r="A165" s="50"/>
      <c r="B165" s="53" t="s">
        <v>145</v>
      </c>
      <c r="C165" s="47"/>
      <c r="D165" s="64">
        <f t="shared" ref="D165:D178" si="132">IFERROR(D119*D150,"")+IFERROR((D119*D135*$D$81),"")</f>
        <v>5050</v>
      </c>
      <c r="E165" s="64">
        <f t="shared" ref="E165:P165" si="133">IFERROR(E119*E150,"")++IFERROR(((E119*E135)*$D$81),"")</f>
        <v>5050</v>
      </c>
      <c r="F165" s="64">
        <f t="shared" si="133"/>
        <v>5050</v>
      </c>
      <c r="G165" s="64">
        <f t="shared" si="133"/>
        <v>5355.5249999999996</v>
      </c>
      <c r="H165" s="64">
        <f t="shared" si="133"/>
        <v>5679.5342625000003</v>
      </c>
      <c r="I165" s="64">
        <f t="shared" si="133"/>
        <v>6023.1460853812505</v>
      </c>
      <c r="J165" s="64">
        <f t="shared" si="133"/>
        <v>6387.5464235468162</v>
      </c>
      <c r="K165" s="64">
        <f t="shared" si="133"/>
        <v>6773.9929821713986</v>
      </c>
      <c r="L165" s="64">
        <f t="shared" si="133"/>
        <v>7183.8195575927693</v>
      </c>
      <c r="M165" s="64">
        <f t="shared" si="133"/>
        <v>7618.4406408271325</v>
      </c>
      <c r="N165" s="64">
        <f t="shared" si="133"/>
        <v>8079.3562995971752</v>
      </c>
      <c r="O165" s="64">
        <f t="shared" si="133"/>
        <v>8568.1573557228039</v>
      </c>
      <c r="P165" s="122">
        <f t="shared" si="133"/>
        <v>9086.5308757440325</v>
      </c>
      <c r="Q165" s="50"/>
      <c r="R165" s="50"/>
      <c r="S165" s="50"/>
      <c r="T165" s="50"/>
      <c r="U165" s="50"/>
      <c r="V165" s="50"/>
      <c r="W165" s="50"/>
      <c r="X165" s="50"/>
      <c r="Y165" s="50"/>
      <c r="Z165" s="50"/>
    </row>
    <row r="166" spans="1:26" ht="15.75" customHeight="1" x14ac:dyDescent="0.35">
      <c r="A166" s="50"/>
      <c r="B166" s="53" t="s">
        <v>146</v>
      </c>
      <c r="C166" s="47"/>
      <c r="D166" s="64">
        <f t="shared" si="132"/>
        <v>5050</v>
      </c>
      <c r="E166" s="64">
        <f t="shared" ref="E166:P166" si="134">IFERROR(E120*E151,"")++IFERROR(((E120*E136)*$D$81),"")</f>
        <v>5050</v>
      </c>
      <c r="F166" s="64">
        <f t="shared" si="134"/>
        <v>5050</v>
      </c>
      <c r="G166" s="64">
        <f t="shared" si="134"/>
        <v>5355.5249999999996</v>
      </c>
      <c r="H166" s="64">
        <f t="shared" si="134"/>
        <v>5679.5342625000003</v>
      </c>
      <c r="I166" s="64">
        <f t="shared" si="134"/>
        <v>6023.1460853812505</v>
      </c>
      <c r="J166" s="64">
        <f t="shared" si="134"/>
        <v>6387.5464235468162</v>
      </c>
      <c r="K166" s="64">
        <f t="shared" si="134"/>
        <v>6773.9929821713986</v>
      </c>
      <c r="L166" s="64">
        <f t="shared" si="134"/>
        <v>7183.8195575927693</v>
      </c>
      <c r="M166" s="64">
        <f t="shared" si="134"/>
        <v>7618.4406408271325</v>
      </c>
      <c r="N166" s="64">
        <f t="shared" si="134"/>
        <v>8079.3562995971752</v>
      </c>
      <c r="O166" s="64">
        <f t="shared" si="134"/>
        <v>8568.1573557228039</v>
      </c>
      <c r="P166" s="122">
        <f t="shared" si="134"/>
        <v>9086.5308757440325</v>
      </c>
      <c r="Q166" s="50"/>
      <c r="R166" s="50"/>
      <c r="S166" s="50"/>
      <c r="T166" s="50"/>
      <c r="U166" s="50"/>
      <c r="V166" s="50"/>
      <c r="W166" s="50"/>
      <c r="X166" s="50"/>
      <c r="Y166" s="50"/>
      <c r="Z166" s="50"/>
    </row>
    <row r="167" spans="1:26" ht="15.75" customHeight="1" x14ac:dyDescent="0.35">
      <c r="A167" s="50"/>
      <c r="B167" s="53" t="s">
        <v>147</v>
      </c>
      <c r="C167" s="47"/>
      <c r="D167" s="64">
        <f t="shared" si="132"/>
        <v>5050</v>
      </c>
      <c r="E167" s="64">
        <f t="shared" ref="E167:P167" si="135">IFERROR(E121*E152,"")++IFERROR(((E121*E137)*$D$81),"")</f>
        <v>5050</v>
      </c>
      <c r="F167" s="64">
        <f t="shared" si="135"/>
        <v>5050</v>
      </c>
      <c r="G167" s="64">
        <f t="shared" si="135"/>
        <v>5355.5249999999996</v>
      </c>
      <c r="H167" s="64">
        <f t="shared" si="135"/>
        <v>5679.5342625000003</v>
      </c>
      <c r="I167" s="64">
        <f t="shared" si="135"/>
        <v>6023.1460853812505</v>
      </c>
      <c r="J167" s="64">
        <f t="shared" si="135"/>
        <v>6387.5464235468162</v>
      </c>
      <c r="K167" s="64">
        <f t="shared" si="135"/>
        <v>6773.9929821713986</v>
      </c>
      <c r="L167" s="64">
        <f t="shared" si="135"/>
        <v>7183.8195575927693</v>
      </c>
      <c r="M167" s="64">
        <f t="shared" si="135"/>
        <v>7618.4406408271325</v>
      </c>
      <c r="N167" s="64">
        <f t="shared" si="135"/>
        <v>8079.3562995971752</v>
      </c>
      <c r="O167" s="64">
        <f t="shared" si="135"/>
        <v>8568.1573557228039</v>
      </c>
      <c r="P167" s="122">
        <f t="shared" si="135"/>
        <v>9086.5308757440325</v>
      </c>
      <c r="Q167" s="50"/>
      <c r="R167" s="50"/>
      <c r="S167" s="50"/>
      <c r="T167" s="50"/>
      <c r="U167" s="50"/>
      <c r="V167" s="50"/>
      <c r="W167" s="50"/>
      <c r="X167" s="50"/>
      <c r="Y167" s="50"/>
      <c r="Z167" s="50"/>
    </row>
    <row r="168" spans="1:26" ht="15.75" customHeight="1" x14ac:dyDescent="0.35">
      <c r="A168" s="50"/>
      <c r="B168" s="53" t="s">
        <v>148</v>
      </c>
      <c r="C168" s="47"/>
      <c r="D168" s="64">
        <f t="shared" si="132"/>
        <v>5050</v>
      </c>
      <c r="E168" s="64">
        <f t="shared" ref="E168:P168" si="136">IFERROR(E122*E153,"")++IFERROR(((E122*E138)*$D$81),"")</f>
        <v>5050</v>
      </c>
      <c r="F168" s="64">
        <f t="shared" si="136"/>
        <v>5050</v>
      </c>
      <c r="G168" s="64">
        <f t="shared" si="136"/>
        <v>5355.5249999999996</v>
      </c>
      <c r="H168" s="64">
        <f t="shared" si="136"/>
        <v>5679.5342625000003</v>
      </c>
      <c r="I168" s="64">
        <f t="shared" si="136"/>
        <v>6023.1460853812505</v>
      </c>
      <c r="J168" s="64">
        <f t="shared" si="136"/>
        <v>6387.5464235468162</v>
      </c>
      <c r="K168" s="64">
        <f t="shared" si="136"/>
        <v>6773.9929821713986</v>
      </c>
      <c r="L168" s="64">
        <f t="shared" si="136"/>
        <v>7183.8195575927693</v>
      </c>
      <c r="M168" s="64">
        <f t="shared" si="136"/>
        <v>7618.4406408271325</v>
      </c>
      <c r="N168" s="64">
        <f t="shared" si="136"/>
        <v>8079.3562995971752</v>
      </c>
      <c r="O168" s="64">
        <f t="shared" si="136"/>
        <v>8568.1573557228039</v>
      </c>
      <c r="P168" s="122">
        <f t="shared" si="136"/>
        <v>9086.5308757440325</v>
      </c>
      <c r="Q168" s="50"/>
      <c r="R168" s="50"/>
      <c r="S168" s="50"/>
      <c r="T168" s="50"/>
      <c r="U168" s="50"/>
      <c r="V168" s="50"/>
      <c r="W168" s="50"/>
      <c r="X168" s="50"/>
      <c r="Y168" s="50"/>
      <c r="Z168" s="50"/>
    </row>
    <row r="169" spans="1:26" ht="15.75" customHeight="1" x14ac:dyDescent="0.35">
      <c r="A169" s="50"/>
      <c r="B169" s="53" t="s">
        <v>149</v>
      </c>
      <c r="C169" s="47"/>
      <c r="D169" s="64">
        <f t="shared" si="132"/>
        <v>5050</v>
      </c>
      <c r="E169" s="64">
        <f t="shared" ref="E169:P169" si="137">IFERROR(E123*E154,"")++IFERROR(((E123*E139)*$D$81),"")</f>
        <v>5050</v>
      </c>
      <c r="F169" s="64">
        <f t="shared" si="137"/>
        <v>5050</v>
      </c>
      <c r="G169" s="64">
        <f t="shared" si="137"/>
        <v>5355.5249999999996</v>
      </c>
      <c r="H169" s="64">
        <f t="shared" si="137"/>
        <v>5679.5342625000003</v>
      </c>
      <c r="I169" s="64">
        <f t="shared" si="137"/>
        <v>6023.1460853812505</v>
      </c>
      <c r="J169" s="64">
        <f t="shared" si="137"/>
        <v>6387.5464235468162</v>
      </c>
      <c r="K169" s="64">
        <f t="shared" si="137"/>
        <v>6773.9929821713986</v>
      </c>
      <c r="L169" s="64">
        <f t="shared" si="137"/>
        <v>7183.8195575927693</v>
      </c>
      <c r="M169" s="64">
        <f t="shared" si="137"/>
        <v>7618.4406408271325</v>
      </c>
      <c r="N169" s="64">
        <f t="shared" si="137"/>
        <v>8079.3562995971752</v>
      </c>
      <c r="O169" s="64">
        <f t="shared" si="137"/>
        <v>8568.1573557228039</v>
      </c>
      <c r="P169" s="122">
        <f t="shared" si="137"/>
        <v>9086.5308757440325</v>
      </c>
      <c r="Q169" s="50"/>
      <c r="R169" s="50"/>
      <c r="S169" s="50"/>
      <c r="T169" s="50"/>
      <c r="U169" s="50"/>
      <c r="V169" s="50"/>
      <c r="W169" s="50"/>
      <c r="X169" s="50"/>
      <c r="Y169" s="50"/>
      <c r="Z169" s="50"/>
    </row>
    <row r="170" spans="1:26" ht="15.75" customHeight="1" x14ac:dyDescent="0.35">
      <c r="A170" s="50"/>
      <c r="B170" s="53" t="s">
        <v>150</v>
      </c>
      <c r="C170" s="47"/>
      <c r="D170" s="64">
        <f t="shared" si="132"/>
        <v>5050</v>
      </c>
      <c r="E170" s="64">
        <f t="shared" ref="E170:P170" si="138">IFERROR(E124*E155,"")++IFERROR(((E124*E140)*$D$81),"")</f>
        <v>5050</v>
      </c>
      <c r="F170" s="64">
        <f t="shared" si="138"/>
        <v>5050</v>
      </c>
      <c r="G170" s="64">
        <f t="shared" si="138"/>
        <v>5355.5249999999996</v>
      </c>
      <c r="H170" s="64">
        <f t="shared" si="138"/>
        <v>5679.5342625000003</v>
      </c>
      <c r="I170" s="64">
        <f t="shared" si="138"/>
        <v>6023.1460853812505</v>
      </c>
      <c r="J170" s="64">
        <f t="shared" si="138"/>
        <v>6387.5464235468162</v>
      </c>
      <c r="K170" s="64">
        <f t="shared" si="138"/>
        <v>6773.9929821713986</v>
      </c>
      <c r="L170" s="64">
        <f t="shared" si="138"/>
        <v>7183.8195575927693</v>
      </c>
      <c r="M170" s="64">
        <f t="shared" si="138"/>
        <v>7618.4406408271325</v>
      </c>
      <c r="N170" s="64">
        <f t="shared" si="138"/>
        <v>8079.3562995971752</v>
      </c>
      <c r="O170" s="64">
        <f t="shared" si="138"/>
        <v>8568.1573557228039</v>
      </c>
      <c r="P170" s="122">
        <f t="shared" si="138"/>
        <v>9086.5308757440325</v>
      </c>
      <c r="Q170" s="50"/>
      <c r="R170" s="50"/>
      <c r="S170" s="50"/>
      <c r="T170" s="50"/>
      <c r="U170" s="50"/>
      <c r="V170" s="50"/>
      <c r="W170" s="50"/>
      <c r="X170" s="50"/>
      <c r="Y170" s="50"/>
      <c r="Z170" s="50"/>
    </row>
    <row r="171" spans="1:26" ht="15.75" customHeight="1" x14ac:dyDescent="0.35">
      <c r="A171" s="50"/>
      <c r="B171" s="53" t="s">
        <v>151</v>
      </c>
      <c r="C171" s="47"/>
      <c r="D171" s="64">
        <f t="shared" si="132"/>
        <v>5050</v>
      </c>
      <c r="E171" s="64">
        <f t="shared" ref="E171:P171" si="139">IFERROR(E125*E156,"")++IFERROR(((E125*E141)*$D$81),"")</f>
        <v>5050</v>
      </c>
      <c r="F171" s="64">
        <f t="shared" si="139"/>
        <v>5050</v>
      </c>
      <c r="G171" s="64">
        <f t="shared" si="139"/>
        <v>5355.5249999999996</v>
      </c>
      <c r="H171" s="64">
        <f t="shared" si="139"/>
        <v>5679.5342625000003</v>
      </c>
      <c r="I171" s="64">
        <f t="shared" si="139"/>
        <v>6023.1460853812505</v>
      </c>
      <c r="J171" s="64">
        <f t="shared" si="139"/>
        <v>6387.5464235468162</v>
      </c>
      <c r="K171" s="64">
        <f t="shared" si="139"/>
        <v>6773.9929821713986</v>
      </c>
      <c r="L171" s="64">
        <f t="shared" si="139"/>
        <v>7183.8195575927693</v>
      </c>
      <c r="M171" s="64">
        <f t="shared" si="139"/>
        <v>7618.4406408271325</v>
      </c>
      <c r="N171" s="64">
        <f t="shared" si="139"/>
        <v>8079.3562995971752</v>
      </c>
      <c r="O171" s="64">
        <f t="shared" si="139"/>
        <v>8568.1573557228039</v>
      </c>
      <c r="P171" s="122">
        <f t="shared" si="139"/>
        <v>9086.5308757440325</v>
      </c>
      <c r="Q171" s="50"/>
      <c r="R171" s="50"/>
      <c r="S171" s="50"/>
      <c r="T171" s="50"/>
      <c r="U171" s="50"/>
      <c r="V171" s="50"/>
      <c r="W171" s="50"/>
      <c r="X171" s="50"/>
      <c r="Y171" s="50"/>
      <c r="Z171" s="50"/>
    </row>
    <row r="172" spans="1:26" ht="15.75" customHeight="1" x14ac:dyDescent="0.35">
      <c r="A172" s="50"/>
      <c r="B172" s="53" t="s">
        <v>152</v>
      </c>
      <c r="C172" s="47"/>
      <c r="D172" s="64">
        <f t="shared" si="132"/>
        <v>5050</v>
      </c>
      <c r="E172" s="64">
        <f t="shared" ref="E172:P172" si="140">IFERROR(E126*E157,"")++IFERROR(((E126*E142)*$D$81),"")</f>
        <v>5050</v>
      </c>
      <c r="F172" s="64">
        <f t="shared" si="140"/>
        <v>5050</v>
      </c>
      <c r="G172" s="64">
        <f t="shared" si="140"/>
        <v>5355.5249999999996</v>
      </c>
      <c r="H172" s="64">
        <f t="shared" si="140"/>
        <v>5679.5342625000003</v>
      </c>
      <c r="I172" s="64">
        <f t="shared" si="140"/>
        <v>6023.1460853812505</v>
      </c>
      <c r="J172" s="64">
        <f t="shared" si="140"/>
        <v>6387.5464235468162</v>
      </c>
      <c r="K172" s="64">
        <f t="shared" si="140"/>
        <v>6773.9929821713986</v>
      </c>
      <c r="L172" s="64">
        <f t="shared" si="140"/>
        <v>7183.8195575927693</v>
      </c>
      <c r="M172" s="64">
        <f t="shared" si="140"/>
        <v>7618.4406408271325</v>
      </c>
      <c r="N172" s="64">
        <f t="shared" si="140"/>
        <v>8079.3562995971752</v>
      </c>
      <c r="O172" s="64">
        <f t="shared" si="140"/>
        <v>8568.1573557228039</v>
      </c>
      <c r="P172" s="122">
        <f t="shared" si="140"/>
        <v>9086.5308757440325</v>
      </c>
      <c r="Q172" s="50"/>
      <c r="R172" s="50"/>
      <c r="S172" s="50"/>
      <c r="T172" s="50"/>
      <c r="U172" s="50"/>
      <c r="V172" s="50"/>
      <c r="W172" s="50"/>
      <c r="X172" s="50"/>
      <c r="Y172" s="50"/>
      <c r="Z172" s="50"/>
    </row>
    <row r="173" spans="1:26" ht="15.75" customHeight="1" x14ac:dyDescent="0.35">
      <c r="A173" s="50"/>
      <c r="B173" s="53" t="s">
        <v>153</v>
      </c>
      <c r="C173" s="47"/>
      <c r="D173" s="64">
        <f t="shared" si="132"/>
        <v>5050</v>
      </c>
      <c r="E173" s="64">
        <f t="shared" ref="E173:P173" si="141">IFERROR(E127*E158,"")++IFERROR(((E127*E143)*$D$81),"")</f>
        <v>5050</v>
      </c>
      <c r="F173" s="64">
        <f t="shared" si="141"/>
        <v>5050</v>
      </c>
      <c r="G173" s="64">
        <f t="shared" si="141"/>
        <v>5355.5249999999996</v>
      </c>
      <c r="H173" s="64">
        <f t="shared" si="141"/>
        <v>5679.5342625000003</v>
      </c>
      <c r="I173" s="64">
        <f t="shared" si="141"/>
        <v>6023.1460853812505</v>
      </c>
      <c r="J173" s="64">
        <f t="shared" si="141"/>
        <v>6387.5464235468162</v>
      </c>
      <c r="K173" s="64">
        <f t="shared" si="141"/>
        <v>6773.9929821713986</v>
      </c>
      <c r="L173" s="64">
        <f t="shared" si="141"/>
        <v>7183.8195575927693</v>
      </c>
      <c r="M173" s="64">
        <f t="shared" si="141"/>
        <v>7618.4406408271325</v>
      </c>
      <c r="N173" s="64">
        <f t="shared" si="141"/>
        <v>8079.3562995971752</v>
      </c>
      <c r="O173" s="64">
        <f t="shared" si="141"/>
        <v>8568.1573557228039</v>
      </c>
      <c r="P173" s="122">
        <f t="shared" si="141"/>
        <v>9086.5308757440325</v>
      </c>
      <c r="Q173" s="50"/>
      <c r="R173" s="50"/>
      <c r="S173" s="50"/>
      <c r="T173" s="50"/>
      <c r="U173" s="50"/>
      <c r="V173" s="50"/>
      <c r="W173" s="50"/>
      <c r="X173" s="50"/>
      <c r="Y173" s="50"/>
      <c r="Z173" s="50"/>
    </row>
    <row r="174" spans="1:26" ht="15.75" customHeight="1" x14ac:dyDescent="0.35">
      <c r="A174" s="50"/>
      <c r="B174" s="53" t="s">
        <v>154</v>
      </c>
      <c r="C174" s="47"/>
      <c r="D174" s="64">
        <f t="shared" si="132"/>
        <v>5050</v>
      </c>
      <c r="E174" s="64">
        <f t="shared" ref="E174:P174" si="142">IFERROR(E128*E159,"")++IFERROR(((E128*E144)*$D$81),"")</f>
        <v>5050</v>
      </c>
      <c r="F174" s="64">
        <f t="shared" si="142"/>
        <v>5050</v>
      </c>
      <c r="G174" s="64">
        <f t="shared" si="142"/>
        <v>5355.5249999999996</v>
      </c>
      <c r="H174" s="64">
        <f t="shared" si="142"/>
        <v>5679.5342625000003</v>
      </c>
      <c r="I174" s="64">
        <f t="shared" si="142"/>
        <v>6023.1460853812505</v>
      </c>
      <c r="J174" s="64">
        <f t="shared" si="142"/>
        <v>6387.5464235468162</v>
      </c>
      <c r="K174" s="64">
        <f t="shared" si="142"/>
        <v>6773.9929821713986</v>
      </c>
      <c r="L174" s="64">
        <f t="shared" si="142"/>
        <v>7183.8195575927693</v>
      </c>
      <c r="M174" s="64">
        <f t="shared" si="142"/>
        <v>7618.4406408271325</v>
      </c>
      <c r="N174" s="64">
        <f t="shared" si="142"/>
        <v>8079.3562995971752</v>
      </c>
      <c r="O174" s="64">
        <f t="shared" si="142"/>
        <v>8568.1573557228039</v>
      </c>
      <c r="P174" s="122">
        <f t="shared" si="142"/>
        <v>9086.5308757440325</v>
      </c>
      <c r="Q174" s="50"/>
      <c r="R174" s="50"/>
      <c r="S174" s="50"/>
      <c r="T174" s="50"/>
      <c r="U174" s="50"/>
      <c r="V174" s="50"/>
      <c r="W174" s="50"/>
      <c r="X174" s="50"/>
      <c r="Y174" s="50"/>
      <c r="Z174" s="50"/>
    </row>
    <row r="175" spans="1:26" ht="15.75" customHeight="1" x14ac:dyDescent="0.35">
      <c r="A175" s="50"/>
      <c r="B175" s="53" t="s">
        <v>155</v>
      </c>
      <c r="C175" s="47"/>
      <c r="D175" s="64">
        <f t="shared" si="132"/>
        <v>5050</v>
      </c>
      <c r="E175" s="64">
        <f t="shared" ref="E175:P175" si="143">IFERROR(E129*E160,"")++IFERROR(((E129*E145)*$D$81),"")</f>
        <v>5050</v>
      </c>
      <c r="F175" s="64">
        <f t="shared" si="143"/>
        <v>5050</v>
      </c>
      <c r="G175" s="64">
        <f t="shared" si="143"/>
        <v>5355.5249999999996</v>
      </c>
      <c r="H175" s="64">
        <f t="shared" si="143"/>
        <v>5679.5342625000003</v>
      </c>
      <c r="I175" s="64">
        <f t="shared" si="143"/>
        <v>6023.1460853812505</v>
      </c>
      <c r="J175" s="64">
        <f t="shared" si="143"/>
        <v>6387.5464235468162</v>
      </c>
      <c r="K175" s="64">
        <f t="shared" si="143"/>
        <v>6773.9929821713986</v>
      </c>
      <c r="L175" s="64">
        <f t="shared" si="143"/>
        <v>7183.8195575927693</v>
      </c>
      <c r="M175" s="64">
        <f t="shared" si="143"/>
        <v>7618.4406408271325</v>
      </c>
      <c r="N175" s="64">
        <f t="shared" si="143"/>
        <v>8079.3562995971752</v>
      </c>
      <c r="O175" s="64">
        <f t="shared" si="143"/>
        <v>8568.1573557228039</v>
      </c>
      <c r="P175" s="122">
        <f t="shared" si="143"/>
        <v>9086.5308757440325</v>
      </c>
      <c r="Q175" s="50"/>
      <c r="R175" s="50"/>
      <c r="S175" s="50"/>
      <c r="T175" s="50"/>
      <c r="U175" s="50"/>
      <c r="V175" s="50"/>
      <c r="W175" s="50"/>
      <c r="X175" s="50"/>
      <c r="Y175" s="50"/>
      <c r="Z175" s="50"/>
    </row>
    <row r="176" spans="1:26" ht="15.75" customHeight="1" x14ac:dyDescent="0.35">
      <c r="A176" s="50"/>
      <c r="B176" s="53" t="s">
        <v>156</v>
      </c>
      <c r="C176" s="47"/>
      <c r="D176" s="64">
        <f t="shared" si="132"/>
        <v>5050</v>
      </c>
      <c r="E176" s="64">
        <f t="shared" ref="E176:P176" si="144">IFERROR(E130*E161,"")++IFERROR(((E130*E146)*$D$81),"")</f>
        <v>5050</v>
      </c>
      <c r="F176" s="64">
        <f t="shared" si="144"/>
        <v>5050</v>
      </c>
      <c r="G176" s="64">
        <f t="shared" si="144"/>
        <v>5355.5249999999996</v>
      </c>
      <c r="H176" s="64">
        <f t="shared" si="144"/>
        <v>5679.5342625000003</v>
      </c>
      <c r="I176" s="64">
        <f t="shared" si="144"/>
        <v>6023.1460853812505</v>
      </c>
      <c r="J176" s="64">
        <f t="shared" si="144"/>
        <v>6387.5464235468162</v>
      </c>
      <c r="K176" s="64">
        <f t="shared" si="144"/>
        <v>6773.9929821713986</v>
      </c>
      <c r="L176" s="64">
        <f t="shared" si="144"/>
        <v>7183.8195575927693</v>
      </c>
      <c r="M176" s="64">
        <f t="shared" si="144"/>
        <v>7618.4406408271325</v>
      </c>
      <c r="N176" s="64">
        <f t="shared" si="144"/>
        <v>8079.3562995971752</v>
      </c>
      <c r="O176" s="64">
        <f t="shared" si="144"/>
        <v>8568.1573557228039</v>
      </c>
      <c r="P176" s="122">
        <f t="shared" si="144"/>
        <v>9086.5308757440325</v>
      </c>
      <c r="Q176" s="50"/>
      <c r="R176" s="50"/>
      <c r="S176" s="50"/>
      <c r="T176" s="50"/>
      <c r="U176" s="50"/>
      <c r="V176" s="50"/>
      <c r="W176" s="50"/>
      <c r="X176" s="50"/>
      <c r="Y176" s="50"/>
      <c r="Z176" s="50"/>
    </row>
    <row r="177" spans="1:26" ht="15.75" customHeight="1" x14ac:dyDescent="0.35">
      <c r="A177" s="50"/>
      <c r="B177" s="161" t="s">
        <v>157</v>
      </c>
      <c r="C177" s="47"/>
      <c r="D177" s="64">
        <f t="shared" si="132"/>
        <v>5050</v>
      </c>
      <c r="E177" s="64">
        <f t="shared" ref="E177:P177" si="145">IFERROR(E131*E162,"")++IFERROR(((E131*E147)*$D$81),"")</f>
        <v>5050</v>
      </c>
      <c r="F177" s="64">
        <f t="shared" si="145"/>
        <v>5050</v>
      </c>
      <c r="G177" s="64">
        <f t="shared" si="145"/>
        <v>5355.5249999999996</v>
      </c>
      <c r="H177" s="64">
        <f t="shared" si="145"/>
        <v>5679.5342625000003</v>
      </c>
      <c r="I177" s="64">
        <f t="shared" si="145"/>
        <v>6023.1460853812505</v>
      </c>
      <c r="J177" s="64">
        <f t="shared" si="145"/>
        <v>6387.5464235468162</v>
      </c>
      <c r="K177" s="64">
        <f t="shared" si="145"/>
        <v>6773.9929821713986</v>
      </c>
      <c r="L177" s="64">
        <f t="shared" si="145"/>
        <v>7183.8195575927693</v>
      </c>
      <c r="M177" s="64">
        <f t="shared" si="145"/>
        <v>7618.4406408271325</v>
      </c>
      <c r="N177" s="64">
        <f t="shared" si="145"/>
        <v>8079.3562995971752</v>
      </c>
      <c r="O177" s="64">
        <f t="shared" si="145"/>
        <v>8568.1573557228039</v>
      </c>
      <c r="P177" s="122">
        <f t="shared" si="145"/>
        <v>9086.5308757440325</v>
      </c>
      <c r="Q177" s="50"/>
      <c r="R177" s="50"/>
      <c r="S177" s="50"/>
      <c r="T177" s="50"/>
      <c r="U177" s="50"/>
      <c r="V177" s="50"/>
      <c r="W177" s="50"/>
      <c r="X177" s="50"/>
      <c r="Y177" s="50"/>
      <c r="Z177" s="50"/>
    </row>
    <row r="178" spans="1:26" ht="15.75" customHeight="1" x14ac:dyDescent="0.35">
      <c r="A178" s="50"/>
      <c r="B178" s="53" t="s">
        <v>158</v>
      </c>
      <c r="C178" s="47"/>
      <c r="D178" s="64">
        <f t="shared" si="132"/>
        <v>5050</v>
      </c>
      <c r="E178" s="64">
        <f t="shared" ref="E178:P178" si="146">IFERROR(E132*E163,"")++IFERROR(((E132*E148)*$D$81),"")</f>
        <v>5050</v>
      </c>
      <c r="F178" s="64">
        <f t="shared" si="146"/>
        <v>5050</v>
      </c>
      <c r="G178" s="64">
        <f t="shared" si="146"/>
        <v>5355.5249999999996</v>
      </c>
      <c r="H178" s="64">
        <f t="shared" si="146"/>
        <v>5679.5342625000003</v>
      </c>
      <c r="I178" s="64">
        <f t="shared" si="146"/>
        <v>6023.1460853812505</v>
      </c>
      <c r="J178" s="64">
        <f t="shared" si="146"/>
        <v>6387.5464235468162</v>
      </c>
      <c r="K178" s="64">
        <f t="shared" si="146"/>
        <v>6773.9929821713986</v>
      </c>
      <c r="L178" s="64">
        <f t="shared" si="146"/>
        <v>7183.8195575927693</v>
      </c>
      <c r="M178" s="64">
        <f t="shared" si="146"/>
        <v>7618.4406408271325</v>
      </c>
      <c r="N178" s="64">
        <f t="shared" si="146"/>
        <v>8079.3562995971752</v>
      </c>
      <c r="O178" s="64">
        <f t="shared" si="146"/>
        <v>8568.1573557228039</v>
      </c>
      <c r="P178" s="122">
        <f t="shared" si="146"/>
        <v>9086.5308757440325</v>
      </c>
      <c r="Q178" s="50"/>
      <c r="R178" s="50"/>
      <c r="S178" s="50"/>
      <c r="T178" s="50"/>
      <c r="U178" s="50"/>
      <c r="V178" s="50"/>
      <c r="W178" s="50"/>
      <c r="X178" s="50"/>
      <c r="Y178" s="50"/>
      <c r="Z178" s="50"/>
    </row>
    <row r="179" spans="1:26" ht="15.75" customHeight="1" x14ac:dyDescent="0.35">
      <c r="A179" s="32"/>
      <c r="B179" s="58" t="s">
        <v>65</v>
      </c>
      <c r="C179" s="65"/>
      <c r="D179" s="129">
        <f t="shared" ref="D179:P179" si="147">SUM(D165:D178)</f>
        <v>70700</v>
      </c>
      <c r="E179" s="129">
        <f t="shared" si="147"/>
        <v>70700</v>
      </c>
      <c r="F179" s="129">
        <f t="shared" si="147"/>
        <v>70700</v>
      </c>
      <c r="G179" s="129">
        <f t="shared" si="147"/>
        <v>74977.350000000006</v>
      </c>
      <c r="H179" s="129">
        <f t="shared" si="147"/>
        <v>79513.479674999995</v>
      </c>
      <c r="I179" s="129">
        <f t="shared" si="147"/>
        <v>84324.045195337501</v>
      </c>
      <c r="J179" s="129">
        <f t="shared" si="147"/>
        <v>89425.64992965541</v>
      </c>
      <c r="K179" s="129">
        <f t="shared" si="147"/>
        <v>94835.901750399586</v>
      </c>
      <c r="L179" s="129">
        <f t="shared" si="147"/>
        <v>100573.47380629876</v>
      </c>
      <c r="M179" s="129">
        <f t="shared" si="147"/>
        <v>106658.16897157986</v>
      </c>
      <c r="N179" s="129">
        <f t="shared" si="147"/>
        <v>113110.98819436044</v>
      </c>
      <c r="O179" s="129">
        <f t="shared" si="147"/>
        <v>119954.20298011921</v>
      </c>
      <c r="P179" s="129">
        <f t="shared" si="147"/>
        <v>127211.43226041649</v>
      </c>
      <c r="Q179" s="32"/>
      <c r="R179" s="32"/>
      <c r="S179" s="32"/>
      <c r="T179" s="32"/>
      <c r="U179" s="32"/>
      <c r="V179" s="32"/>
      <c r="W179" s="32"/>
      <c r="X179" s="32"/>
      <c r="Y179" s="32"/>
      <c r="Z179" s="32"/>
    </row>
    <row r="180" spans="1:26" ht="15.75" customHeight="1" x14ac:dyDescent="0.35">
      <c r="A180" s="50"/>
      <c r="B180" s="131" t="s">
        <v>137</v>
      </c>
      <c r="C180" s="132" t="s">
        <v>138</v>
      </c>
      <c r="D180" s="133">
        <f t="array" ref="D180">NPV($D$83,D179:P179)</f>
        <v>837885.29180329386</v>
      </c>
      <c r="E180" s="134"/>
      <c r="F180" s="135"/>
      <c r="G180" s="134"/>
      <c r="H180" s="134"/>
      <c r="I180" s="134"/>
      <c r="J180" s="134"/>
      <c r="K180" s="134"/>
      <c r="L180" s="134"/>
      <c r="M180" s="134"/>
      <c r="N180" s="134"/>
      <c r="O180" s="134"/>
      <c r="P180" s="136"/>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137" t="s">
        <v>55</v>
      </c>
      <c r="C182" s="138"/>
      <c r="D182" s="566" t="s">
        <v>129</v>
      </c>
      <c r="E182" s="552"/>
      <c r="F182" s="553"/>
      <c r="G182" s="139" t="s">
        <v>130</v>
      </c>
      <c r="H182" s="138"/>
      <c r="I182" s="138"/>
      <c r="J182" s="138"/>
      <c r="K182" s="138"/>
      <c r="L182" s="138"/>
      <c r="M182" s="138"/>
      <c r="N182" s="138"/>
      <c r="O182" s="138"/>
      <c r="P182" s="140"/>
      <c r="Q182" s="50"/>
      <c r="R182" s="50"/>
      <c r="S182" s="50"/>
      <c r="T182" s="50"/>
      <c r="U182" s="50"/>
      <c r="V182" s="50"/>
      <c r="W182" s="50"/>
      <c r="X182" s="50"/>
      <c r="Y182" s="50"/>
      <c r="Z182" s="50"/>
    </row>
    <row r="183" spans="1:26" ht="15.75" customHeight="1" x14ac:dyDescent="0.35">
      <c r="A183" s="50"/>
      <c r="B183" s="141"/>
      <c r="C183" s="142"/>
      <c r="D183" s="143">
        <f>D86</f>
        <v>1</v>
      </c>
      <c r="E183" s="143">
        <f>+D183+1</f>
        <v>2</v>
      </c>
      <c r="F183" s="143">
        <f t="shared" ref="F183:P183" si="148">E183+1</f>
        <v>3</v>
      </c>
      <c r="G183" s="143">
        <f t="shared" si="148"/>
        <v>4</v>
      </c>
      <c r="H183" s="143">
        <f t="shared" si="148"/>
        <v>5</v>
      </c>
      <c r="I183" s="143">
        <f t="shared" si="148"/>
        <v>6</v>
      </c>
      <c r="J183" s="143">
        <f t="shared" si="148"/>
        <v>7</v>
      </c>
      <c r="K183" s="143">
        <f t="shared" si="148"/>
        <v>8</v>
      </c>
      <c r="L183" s="143">
        <f t="shared" si="148"/>
        <v>9</v>
      </c>
      <c r="M183" s="143">
        <f t="shared" si="148"/>
        <v>10</v>
      </c>
      <c r="N183" s="143">
        <f t="shared" si="148"/>
        <v>11</v>
      </c>
      <c r="O183" s="143">
        <f t="shared" si="148"/>
        <v>12</v>
      </c>
      <c r="P183" s="144">
        <f t="shared" si="148"/>
        <v>13</v>
      </c>
      <c r="Q183" s="50"/>
      <c r="R183" s="50"/>
      <c r="S183" s="50"/>
      <c r="T183" s="50"/>
      <c r="U183" s="50"/>
      <c r="V183" s="50"/>
      <c r="W183" s="50"/>
      <c r="X183" s="50"/>
      <c r="Y183" s="50"/>
      <c r="Z183" s="50"/>
    </row>
    <row r="184" spans="1:26" ht="15.75" customHeight="1" x14ac:dyDescent="0.35">
      <c r="A184" s="50"/>
      <c r="B184" s="46" t="s">
        <v>139</v>
      </c>
      <c r="C184" s="47"/>
      <c r="D184" s="49"/>
      <c r="E184" s="49"/>
      <c r="F184" s="49"/>
      <c r="G184" s="49"/>
      <c r="H184" s="49"/>
      <c r="I184" s="49"/>
      <c r="J184" s="49"/>
      <c r="K184" s="49"/>
      <c r="L184" s="49"/>
      <c r="M184" s="49"/>
      <c r="N184" s="50"/>
      <c r="O184" s="50"/>
      <c r="P184" s="115"/>
      <c r="Q184" s="50"/>
      <c r="R184" s="50"/>
      <c r="S184" s="50"/>
      <c r="T184" s="50"/>
      <c r="U184" s="50"/>
      <c r="V184" s="50"/>
      <c r="W184" s="50"/>
      <c r="X184" s="50"/>
      <c r="Y184" s="50"/>
      <c r="Z184" s="50"/>
    </row>
    <row r="185" spans="1:26" ht="15.75" customHeight="1" x14ac:dyDescent="0.35">
      <c r="A185" s="50"/>
      <c r="B185" s="53" t="s">
        <v>145</v>
      </c>
      <c r="C185" s="47" t="s">
        <v>109</v>
      </c>
      <c r="D185" s="145">
        <f t="shared" ref="D185:P185" si="149">IFERROR(D119/D88,"")</f>
        <v>0.1</v>
      </c>
      <c r="E185" s="145">
        <f t="shared" si="149"/>
        <v>0.1</v>
      </c>
      <c r="F185" s="145">
        <f t="shared" si="149"/>
        <v>0.1</v>
      </c>
      <c r="G185" s="145">
        <f t="shared" si="149"/>
        <v>0.10396039603960396</v>
      </c>
      <c r="H185" s="145">
        <f t="shared" si="149"/>
        <v>0.10807763944711303</v>
      </c>
      <c r="I185" s="145">
        <f t="shared" si="149"/>
        <v>0.11235794199947395</v>
      </c>
      <c r="J185" s="145">
        <f t="shared" si="149"/>
        <v>0.11680776148460163</v>
      </c>
      <c r="K185" s="145">
        <f t="shared" si="149"/>
        <v>0.12143381144438785</v>
      </c>
      <c r="L185" s="145">
        <f t="shared" si="149"/>
        <v>0.12624307130357154</v>
      </c>
      <c r="M185" s="145">
        <f t="shared" si="149"/>
        <v>0.13124279689975263</v>
      </c>
      <c r="N185" s="145">
        <f t="shared" si="149"/>
        <v>0.13644053143043591</v>
      </c>
      <c r="O185" s="145">
        <f t="shared" si="149"/>
        <v>0.14184411683362147</v>
      </c>
      <c r="P185" s="146">
        <f t="shared" si="149"/>
        <v>0.14746170561911143</v>
      </c>
      <c r="Q185" s="50"/>
      <c r="R185" s="50"/>
      <c r="S185" s="50"/>
      <c r="T185" s="50"/>
      <c r="U185" s="50"/>
      <c r="V185" s="50"/>
      <c r="W185" s="50"/>
      <c r="X185" s="50"/>
      <c r="Y185" s="50"/>
      <c r="Z185" s="50"/>
    </row>
    <row r="186" spans="1:26" ht="15.75" customHeight="1" x14ac:dyDescent="0.35">
      <c r="A186" s="50"/>
      <c r="B186" s="53" t="s">
        <v>146</v>
      </c>
      <c r="C186" s="47" t="s">
        <v>109</v>
      </c>
      <c r="D186" s="145">
        <f t="shared" ref="D186:P186" si="150">IFERROR(D120/D89,"")</f>
        <v>0.1</v>
      </c>
      <c r="E186" s="145">
        <f t="shared" si="150"/>
        <v>0.1</v>
      </c>
      <c r="F186" s="145">
        <f t="shared" si="150"/>
        <v>0.1</v>
      </c>
      <c r="G186" s="145">
        <f t="shared" si="150"/>
        <v>0.10396039603960396</v>
      </c>
      <c r="H186" s="145">
        <f t="shared" si="150"/>
        <v>0.10807763944711303</v>
      </c>
      <c r="I186" s="145">
        <f t="shared" si="150"/>
        <v>0.11235794199947395</v>
      </c>
      <c r="J186" s="145">
        <f t="shared" si="150"/>
        <v>0.11680776148460163</v>
      </c>
      <c r="K186" s="145">
        <f t="shared" si="150"/>
        <v>0.12143381144438785</v>
      </c>
      <c r="L186" s="145">
        <f t="shared" si="150"/>
        <v>0.12624307130357154</v>
      </c>
      <c r="M186" s="145">
        <f t="shared" si="150"/>
        <v>0.13124279689975263</v>
      </c>
      <c r="N186" s="145">
        <f t="shared" si="150"/>
        <v>0.13644053143043591</v>
      </c>
      <c r="O186" s="145">
        <f t="shared" si="150"/>
        <v>0.14184411683362147</v>
      </c>
      <c r="P186" s="146">
        <f t="shared" si="150"/>
        <v>0.14746170561911143</v>
      </c>
      <c r="Q186" s="50"/>
      <c r="R186" s="50"/>
      <c r="S186" s="50"/>
      <c r="T186" s="50"/>
      <c r="U186" s="50"/>
      <c r="V186" s="50"/>
      <c r="W186" s="50"/>
      <c r="X186" s="50"/>
      <c r="Y186" s="50"/>
      <c r="Z186" s="50"/>
    </row>
    <row r="187" spans="1:26" ht="15.75" customHeight="1" x14ac:dyDescent="0.35">
      <c r="A187" s="50"/>
      <c r="B187" s="53" t="s">
        <v>147</v>
      </c>
      <c r="C187" s="47" t="s">
        <v>109</v>
      </c>
      <c r="D187" s="145">
        <f t="shared" ref="D187:P187" si="151">IFERROR(D121/D90,"")</f>
        <v>0.1</v>
      </c>
      <c r="E187" s="145">
        <f t="shared" si="151"/>
        <v>0.1</v>
      </c>
      <c r="F187" s="145">
        <f t="shared" si="151"/>
        <v>0.1</v>
      </c>
      <c r="G187" s="145">
        <f t="shared" si="151"/>
        <v>0.10396039603960396</v>
      </c>
      <c r="H187" s="145">
        <f t="shared" si="151"/>
        <v>0.10807763944711303</v>
      </c>
      <c r="I187" s="145">
        <f t="shared" si="151"/>
        <v>0.11235794199947395</v>
      </c>
      <c r="J187" s="145">
        <f t="shared" si="151"/>
        <v>0.11680776148460163</v>
      </c>
      <c r="K187" s="145">
        <f t="shared" si="151"/>
        <v>0.12143381144438785</v>
      </c>
      <c r="L187" s="145">
        <f t="shared" si="151"/>
        <v>0.12624307130357154</v>
      </c>
      <c r="M187" s="145">
        <f t="shared" si="151"/>
        <v>0.13124279689975263</v>
      </c>
      <c r="N187" s="145">
        <f t="shared" si="151"/>
        <v>0.13644053143043591</v>
      </c>
      <c r="O187" s="145">
        <f t="shared" si="151"/>
        <v>0.14184411683362147</v>
      </c>
      <c r="P187" s="146">
        <f t="shared" si="151"/>
        <v>0.14746170561911143</v>
      </c>
      <c r="Q187" s="50"/>
      <c r="R187" s="50"/>
      <c r="S187" s="50"/>
      <c r="T187" s="50"/>
      <c r="U187" s="50"/>
      <c r="V187" s="50"/>
      <c r="W187" s="50"/>
      <c r="X187" s="50"/>
      <c r="Y187" s="50"/>
      <c r="Z187" s="50"/>
    </row>
    <row r="188" spans="1:26" ht="15.75" customHeight="1" x14ac:dyDescent="0.35">
      <c r="A188" s="50"/>
      <c r="B188" s="53" t="s">
        <v>148</v>
      </c>
      <c r="C188" s="47" t="s">
        <v>109</v>
      </c>
      <c r="D188" s="145">
        <f t="shared" ref="D188:P188" si="152">IFERROR(D122/D91,"")</f>
        <v>0.1</v>
      </c>
      <c r="E188" s="145">
        <f t="shared" si="152"/>
        <v>0.1</v>
      </c>
      <c r="F188" s="145">
        <f t="shared" si="152"/>
        <v>0.1</v>
      </c>
      <c r="G188" s="145">
        <f t="shared" si="152"/>
        <v>0.10396039603960396</v>
      </c>
      <c r="H188" s="145">
        <f t="shared" si="152"/>
        <v>0.10807763944711303</v>
      </c>
      <c r="I188" s="145">
        <f t="shared" si="152"/>
        <v>0.11235794199947395</v>
      </c>
      <c r="J188" s="145">
        <f t="shared" si="152"/>
        <v>0.11680776148460163</v>
      </c>
      <c r="K188" s="145">
        <f t="shared" si="152"/>
        <v>0.12143381144438785</v>
      </c>
      <c r="L188" s="145">
        <f t="shared" si="152"/>
        <v>0.12624307130357154</v>
      </c>
      <c r="M188" s="145">
        <f t="shared" si="152"/>
        <v>0.13124279689975263</v>
      </c>
      <c r="N188" s="145">
        <f t="shared" si="152"/>
        <v>0.13644053143043591</v>
      </c>
      <c r="O188" s="145">
        <f t="shared" si="152"/>
        <v>0.14184411683362147</v>
      </c>
      <c r="P188" s="146">
        <f t="shared" si="152"/>
        <v>0.14746170561911143</v>
      </c>
      <c r="Q188" s="50"/>
      <c r="R188" s="50"/>
      <c r="S188" s="50"/>
      <c r="T188" s="50"/>
      <c r="U188" s="50"/>
      <c r="V188" s="50"/>
      <c r="W188" s="50"/>
      <c r="X188" s="50"/>
      <c r="Y188" s="50"/>
      <c r="Z188" s="50"/>
    </row>
    <row r="189" spans="1:26" ht="15.75" customHeight="1" x14ac:dyDescent="0.35">
      <c r="A189" s="50"/>
      <c r="B189" s="53" t="s">
        <v>149</v>
      </c>
      <c r="C189" s="47" t="s">
        <v>109</v>
      </c>
      <c r="D189" s="145">
        <f t="shared" ref="D189:P189" si="153">IFERROR(D123/D92,"")</f>
        <v>0.1</v>
      </c>
      <c r="E189" s="145">
        <f t="shared" si="153"/>
        <v>0.1</v>
      </c>
      <c r="F189" s="145">
        <f t="shared" si="153"/>
        <v>0.1</v>
      </c>
      <c r="G189" s="145">
        <f t="shared" si="153"/>
        <v>0.10396039603960396</v>
      </c>
      <c r="H189" s="145">
        <f t="shared" si="153"/>
        <v>0.10807763944711303</v>
      </c>
      <c r="I189" s="145">
        <f t="shared" si="153"/>
        <v>0.11235794199947395</v>
      </c>
      <c r="J189" s="145">
        <f t="shared" si="153"/>
        <v>0.11680776148460163</v>
      </c>
      <c r="K189" s="145">
        <f t="shared" si="153"/>
        <v>0.12143381144438785</v>
      </c>
      <c r="L189" s="145">
        <f t="shared" si="153"/>
        <v>0.12624307130357154</v>
      </c>
      <c r="M189" s="145">
        <f t="shared" si="153"/>
        <v>0.13124279689975263</v>
      </c>
      <c r="N189" s="145">
        <f t="shared" si="153"/>
        <v>0.13644053143043591</v>
      </c>
      <c r="O189" s="145">
        <f t="shared" si="153"/>
        <v>0.14184411683362147</v>
      </c>
      <c r="P189" s="146">
        <f t="shared" si="153"/>
        <v>0.14746170561911143</v>
      </c>
      <c r="Q189" s="50"/>
      <c r="R189" s="50"/>
      <c r="S189" s="50"/>
      <c r="T189" s="50"/>
      <c r="U189" s="50"/>
      <c r="V189" s="50"/>
      <c r="W189" s="50"/>
      <c r="X189" s="50"/>
      <c r="Y189" s="50"/>
      <c r="Z189" s="50"/>
    </row>
    <row r="190" spans="1:26" ht="15.75" customHeight="1" x14ac:dyDescent="0.35">
      <c r="A190" s="50"/>
      <c r="B190" s="53" t="s">
        <v>150</v>
      </c>
      <c r="C190" s="47" t="s">
        <v>109</v>
      </c>
      <c r="D190" s="145">
        <f t="shared" ref="D190:P190" si="154">IFERROR(D124/D93,"")</f>
        <v>0.1</v>
      </c>
      <c r="E190" s="145">
        <f t="shared" si="154"/>
        <v>0.1</v>
      </c>
      <c r="F190" s="145">
        <f t="shared" si="154"/>
        <v>0.1</v>
      </c>
      <c r="G190" s="145">
        <f t="shared" si="154"/>
        <v>0.10396039603960396</v>
      </c>
      <c r="H190" s="145">
        <f t="shared" si="154"/>
        <v>0.10807763944711303</v>
      </c>
      <c r="I190" s="145">
        <f t="shared" si="154"/>
        <v>0.11235794199947395</v>
      </c>
      <c r="J190" s="145">
        <f t="shared" si="154"/>
        <v>0.11680776148460163</v>
      </c>
      <c r="K190" s="145">
        <f t="shared" si="154"/>
        <v>0.12143381144438785</v>
      </c>
      <c r="L190" s="145">
        <f t="shared" si="154"/>
        <v>0.12624307130357154</v>
      </c>
      <c r="M190" s="145">
        <f t="shared" si="154"/>
        <v>0.13124279689975263</v>
      </c>
      <c r="N190" s="145">
        <f t="shared" si="154"/>
        <v>0.13644053143043591</v>
      </c>
      <c r="O190" s="145">
        <f t="shared" si="154"/>
        <v>0.14184411683362147</v>
      </c>
      <c r="P190" s="146">
        <f t="shared" si="154"/>
        <v>0.14746170561911143</v>
      </c>
      <c r="Q190" s="50"/>
      <c r="R190" s="50"/>
      <c r="S190" s="50"/>
      <c r="T190" s="50"/>
      <c r="U190" s="50"/>
      <c r="V190" s="50"/>
      <c r="W190" s="50"/>
      <c r="X190" s="50"/>
      <c r="Y190" s="50"/>
      <c r="Z190" s="50"/>
    </row>
    <row r="191" spans="1:26" ht="15.75" customHeight="1" x14ac:dyDescent="0.35">
      <c r="A191" s="50"/>
      <c r="B191" s="53" t="s">
        <v>151</v>
      </c>
      <c r="C191" s="47" t="s">
        <v>109</v>
      </c>
      <c r="D191" s="145">
        <f t="shared" ref="D191:P191" si="155">IFERROR(D125/D94,"")</f>
        <v>0.1</v>
      </c>
      <c r="E191" s="145">
        <f t="shared" si="155"/>
        <v>0.1</v>
      </c>
      <c r="F191" s="145">
        <f t="shared" si="155"/>
        <v>0.1</v>
      </c>
      <c r="G191" s="145">
        <f t="shared" si="155"/>
        <v>0.10396039603960396</v>
      </c>
      <c r="H191" s="145">
        <f t="shared" si="155"/>
        <v>0.10807763944711303</v>
      </c>
      <c r="I191" s="145">
        <f t="shared" si="155"/>
        <v>0.11235794199947395</v>
      </c>
      <c r="J191" s="145">
        <f t="shared" si="155"/>
        <v>0.11680776148460163</v>
      </c>
      <c r="K191" s="145">
        <f t="shared" si="155"/>
        <v>0.12143381144438785</v>
      </c>
      <c r="L191" s="145">
        <f t="shared" si="155"/>
        <v>0.12624307130357154</v>
      </c>
      <c r="M191" s="145">
        <f t="shared" si="155"/>
        <v>0.13124279689975263</v>
      </c>
      <c r="N191" s="145">
        <f t="shared" si="155"/>
        <v>0.13644053143043591</v>
      </c>
      <c r="O191" s="145">
        <f t="shared" si="155"/>
        <v>0.14184411683362147</v>
      </c>
      <c r="P191" s="146">
        <f t="shared" si="155"/>
        <v>0.14746170561911143</v>
      </c>
      <c r="Q191" s="50"/>
      <c r="R191" s="50"/>
      <c r="S191" s="50"/>
      <c r="T191" s="50"/>
      <c r="U191" s="50"/>
      <c r="V191" s="50"/>
      <c r="W191" s="50"/>
      <c r="X191" s="50"/>
      <c r="Y191" s="50"/>
      <c r="Z191" s="50"/>
    </row>
    <row r="192" spans="1:26" ht="15.75" customHeight="1" x14ac:dyDescent="0.35">
      <c r="A192" s="50"/>
      <c r="B192" s="53" t="s">
        <v>152</v>
      </c>
      <c r="C192" s="47" t="s">
        <v>109</v>
      </c>
      <c r="D192" s="145">
        <f t="shared" ref="D192:P192" si="156">IFERROR(D126/D95,"")</f>
        <v>0.1</v>
      </c>
      <c r="E192" s="145">
        <f t="shared" si="156"/>
        <v>0.1</v>
      </c>
      <c r="F192" s="145">
        <f t="shared" si="156"/>
        <v>0.1</v>
      </c>
      <c r="G192" s="145">
        <f t="shared" si="156"/>
        <v>0.10396039603960396</v>
      </c>
      <c r="H192" s="145">
        <f t="shared" si="156"/>
        <v>0.10807763944711303</v>
      </c>
      <c r="I192" s="145">
        <f t="shared" si="156"/>
        <v>0.11235794199947395</v>
      </c>
      <c r="J192" s="145">
        <f t="shared" si="156"/>
        <v>0.11680776148460163</v>
      </c>
      <c r="K192" s="145">
        <f t="shared" si="156"/>
        <v>0.12143381144438785</v>
      </c>
      <c r="L192" s="145">
        <f t="shared" si="156"/>
        <v>0.12624307130357154</v>
      </c>
      <c r="M192" s="145">
        <f t="shared" si="156"/>
        <v>0.13124279689975263</v>
      </c>
      <c r="N192" s="145">
        <f t="shared" si="156"/>
        <v>0.13644053143043591</v>
      </c>
      <c r="O192" s="145">
        <f t="shared" si="156"/>
        <v>0.14184411683362147</v>
      </c>
      <c r="P192" s="146">
        <f t="shared" si="156"/>
        <v>0.14746170561911143</v>
      </c>
      <c r="Q192" s="50"/>
      <c r="R192" s="50"/>
      <c r="S192" s="50"/>
      <c r="T192" s="50"/>
      <c r="U192" s="50"/>
      <c r="V192" s="50"/>
      <c r="W192" s="50"/>
      <c r="X192" s="50"/>
      <c r="Y192" s="50"/>
      <c r="Z192" s="50"/>
    </row>
    <row r="193" spans="1:26" ht="15.75" customHeight="1" x14ac:dyDescent="0.35">
      <c r="A193" s="50"/>
      <c r="B193" s="53" t="s">
        <v>153</v>
      </c>
      <c r="C193" s="47" t="s">
        <v>109</v>
      </c>
      <c r="D193" s="145">
        <f t="shared" ref="D193:P193" si="157">IFERROR(D127/D96,"")</f>
        <v>0.1</v>
      </c>
      <c r="E193" s="145">
        <f t="shared" si="157"/>
        <v>0.1</v>
      </c>
      <c r="F193" s="145">
        <f t="shared" si="157"/>
        <v>0.1</v>
      </c>
      <c r="G193" s="145">
        <f t="shared" si="157"/>
        <v>0.10396039603960396</v>
      </c>
      <c r="H193" s="145">
        <f t="shared" si="157"/>
        <v>0.10807763944711303</v>
      </c>
      <c r="I193" s="145">
        <f t="shared" si="157"/>
        <v>0.11235794199947395</v>
      </c>
      <c r="J193" s="145">
        <f t="shared" si="157"/>
        <v>0.11680776148460163</v>
      </c>
      <c r="K193" s="145">
        <f t="shared" si="157"/>
        <v>0.12143381144438785</v>
      </c>
      <c r="L193" s="145">
        <f t="shared" si="157"/>
        <v>0.12624307130357154</v>
      </c>
      <c r="M193" s="145">
        <f t="shared" si="157"/>
        <v>0.13124279689975263</v>
      </c>
      <c r="N193" s="145">
        <f t="shared" si="157"/>
        <v>0.13644053143043591</v>
      </c>
      <c r="O193" s="145">
        <f t="shared" si="157"/>
        <v>0.14184411683362147</v>
      </c>
      <c r="P193" s="146">
        <f t="shared" si="157"/>
        <v>0.14746170561911143</v>
      </c>
      <c r="Q193" s="50"/>
      <c r="R193" s="50"/>
      <c r="S193" s="50"/>
      <c r="T193" s="50"/>
      <c r="U193" s="50"/>
      <c r="V193" s="50"/>
      <c r="W193" s="50"/>
      <c r="X193" s="50"/>
      <c r="Y193" s="50"/>
      <c r="Z193" s="50"/>
    </row>
    <row r="194" spans="1:26" ht="15.75" customHeight="1" x14ac:dyDescent="0.35">
      <c r="A194" s="50"/>
      <c r="B194" s="53" t="s">
        <v>154</v>
      </c>
      <c r="C194" s="47" t="s">
        <v>109</v>
      </c>
      <c r="D194" s="145">
        <f t="shared" ref="D194:P194" si="158">IFERROR(D128/D97,"")</f>
        <v>0.1</v>
      </c>
      <c r="E194" s="145">
        <f t="shared" si="158"/>
        <v>0.1</v>
      </c>
      <c r="F194" s="145">
        <f t="shared" si="158"/>
        <v>0.1</v>
      </c>
      <c r="G194" s="145">
        <f t="shared" si="158"/>
        <v>0.10396039603960396</v>
      </c>
      <c r="H194" s="145">
        <f t="shared" si="158"/>
        <v>0.10807763944711303</v>
      </c>
      <c r="I194" s="145">
        <f t="shared" si="158"/>
        <v>0.11235794199947395</v>
      </c>
      <c r="J194" s="145">
        <f t="shared" si="158"/>
        <v>0.11680776148460163</v>
      </c>
      <c r="K194" s="145">
        <f t="shared" si="158"/>
        <v>0.12143381144438785</v>
      </c>
      <c r="L194" s="145">
        <f t="shared" si="158"/>
        <v>0.12624307130357154</v>
      </c>
      <c r="M194" s="145">
        <f t="shared" si="158"/>
        <v>0.13124279689975263</v>
      </c>
      <c r="N194" s="145">
        <f t="shared" si="158"/>
        <v>0.13644053143043591</v>
      </c>
      <c r="O194" s="145">
        <f t="shared" si="158"/>
        <v>0.14184411683362147</v>
      </c>
      <c r="P194" s="146">
        <f t="shared" si="158"/>
        <v>0.14746170561911143</v>
      </c>
      <c r="Q194" s="50"/>
      <c r="R194" s="50"/>
      <c r="S194" s="50"/>
      <c r="T194" s="50"/>
      <c r="U194" s="50"/>
      <c r="V194" s="50"/>
      <c r="W194" s="50"/>
      <c r="X194" s="50"/>
      <c r="Y194" s="50"/>
      <c r="Z194" s="50"/>
    </row>
    <row r="195" spans="1:26" ht="15.75" customHeight="1" x14ac:dyDescent="0.35">
      <c r="A195" s="50"/>
      <c r="B195" s="53" t="s">
        <v>155</v>
      </c>
      <c r="C195" s="47" t="s">
        <v>109</v>
      </c>
      <c r="D195" s="145">
        <f t="shared" ref="D195:P195" si="159">IFERROR(D129/D98,"")</f>
        <v>0.1</v>
      </c>
      <c r="E195" s="145">
        <f t="shared" si="159"/>
        <v>0.1</v>
      </c>
      <c r="F195" s="145">
        <f t="shared" si="159"/>
        <v>0.1</v>
      </c>
      <c r="G195" s="145">
        <f t="shared" si="159"/>
        <v>0.10396039603960396</v>
      </c>
      <c r="H195" s="145">
        <f t="shared" si="159"/>
        <v>0.10807763944711303</v>
      </c>
      <c r="I195" s="145">
        <f t="shared" si="159"/>
        <v>0.11235794199947395</v>
      </c>
      <c r="J195" s="145">
        <f t="shared" si="159"/>
        <v>0.11680776148460163</v>
      </c>
      <c r="K195" s="145">
        <f t="shared" si="159"/>
        <v>0.12143381144438785</v>
      </c>
      <c r="L195" s="145">
        <f t="shared" si="159"/>
        <v>0.12624307130357154</v>
      </c>
      <c r="M195" s="145">
        <f t="shared" si="159"/>
        <v>0.13124279689975263</v>
      </c>
      <c r="N195" s="145">
        <f t="shared" si="159"/>
        <v>0.13644053143043591</v>
      </c>
      <c r="O195" s="145">
        <f t="shared" si="159"/>
        <v>0.14184411683362147</v>
      </c>
      <c r="P195" s="146">
        <f t="shared" si="159"/>
        <v>0.14746170561911143</v>
      </c>
      <c r="Q195" s="50"/>
      <c r="R195" s="50"/>
      <c r="S195" s="50"/>
      <c r="T195" s="50"/>
      <c r="U195" s="50"/>
      <c r="V195" s="50"/>
      <c r="W195" s="50"/>
      <c r="X195" s="50"/>
      <c r="Y195" s="50"/>
      <c r="Z195" s="50"/>
    </row>
    <row r="196" spans="1:26" ht="15.75" customHeight="1" x14ac:dyDescent="0.35">
      <c r="A196" s="50"/>
      <c r="B196" s="53" t="s">
        <v>156</v>
      </c>
      <c r="C196" s="47" t="s">
        <v>109</v>
      </c>
      <c r="D196" s="145">
        <f t="shared" ref="D196:P196" si="160">IFERROR(D130/D99,"")</f>
        <v>0.1</v>
      </c>
      <c r="E196" s="145">
        <f t="shared" si="160"/>
        <v>0.1</v>
      </c>
      <c r="F196" s="145">
        <f t="shared" si="160"/>
        <v>0.1</v>
      </c>
      <c r="G196" s="145">
        <f t="shared" si="160"/>
        <v>0.10396039603960396</v>
      </c>
      <c r="H196" s="145">
        <f t="shared" si="160"/>
        <v>0.10807763944711303</v>
      </c>
      <c r="I196" s="145">
        <f t="shared" si="160"/>
        <v>0.11235794199947395</v>
      </c>
      <c r="J196" s="145">
        <f t="shared" si="160"/>
        <v>0.11680776148460163</v>
      </c>
      <c r="K196" s="145">
        <f t="shared" si="160"/>
        <v>0.12143381144438785</v>
      </c>
      <c r="L196" s="145">
        <f t="shared" si="160"/>
        <v>0.12624307130357154</v>
      </c>
      <c r="M196" s="145">
        <f t="shared" si="160"/>
        <v>0.13124279689975263</v>
      </c>
      <c r="N196" s="145">
        <f t="shared" si="160"/>
        <v>0.13644053143043591</v>
      </c>
      <c r="O196" s="145">
        <f t="shared" si="160"/>
        <v>0.14184411683362147</v>
      </c>
      <c r="P196" s="146">
        <f t="shared" si="160"/>
        <v>0.14746170561911143</v>
      </c>
      <c r="Q196" s="50"/>
      <c r="R196" s="50"/>
      <c r="S196" s="50"/>
      <c r="T196" s="50"/>
      <c r="U196" s="50"/>
      <c r="V196" s="50"/>
      <c r="W196" s="50"/>
      <c r="X196" s="50"/>
      <c r="Y196" s="50"/>
      <c r="Z196" s="50"/>
    </row>
    <row r="197" spans="1:26" ht="15.75" customHeight="1" x14ac:dyDescent="0.35">
      <c r="A197" s="50"/>
      <c r="B197" s="161" t="s">
        <v>157</v>
      </c>
      <c r="C197" s="47" t="s">
        <v>109</v>
      </c>
      <c r="D197" s="145">
        <f t="shared" ref="D197:P197" si="161">IFERROR(D131/D100,"")</f>
        <v>0.1</v>
      </c>
      <c r="E197" s="145">
        <f t="shared" si="161"/>
        <v>0.1</v>
      </c>
      <c r="F197" s="145">
        <f t="shared" si="161"/>
        <v>0.1</v>
      </c>
      <c r="G197" s="145">
        <f t="shared" si="161"/>
        <v>0.10396039603960396</v>
      </c>
      <c r="H197" s="145">
        <f t="shared" si="161"/>
        <v>0.10807763944711303</v>
      </c>
      <c r="I197" s="145">
        <f t="shared" si="161"/>
        <v>0.11235794199947395</v>
      </c>
      <c r="J197" s="145">
        <f t="shared" si="161"/>
        <v>0.11680776148460163</v>
      </c>
      <c r="K197" s="145">
        <f t="shared" si="161"/>
        <v>0.12143381144438785</v>
      </c>
      <c r="L197" s="145">
        <f t="shared" si="161"/>
        <v>0.12624307130357154</v>
      </c>
      <c r="M197" s="145">
        <f t="shared" si="161"/>
        <v>0.13124279689975263</v>
      </c>
      <c r="N197" s="145">
        <f t="shared" si="161"/>
        <v>0.13644053143043591</v>
      </c>
      <c r="O197" s="145">
        <f t="shared" si="161"/>
        <v>0.14184411683362147</v>
      </c>
      <c r="P197" s="146">
        <f t="shared" si="161"/>
        <v>0.14746170561911143</v>
      </c>
      <c r="Q197" s="50"/>
      <c r="R197" s="50"/>
      <c r="S197" s="50"/>
      <c r="T197" s="50"/>
      <c r="U197" s="50"/>
      <c r="V197" s="50"/>
      <c r="W197" s="50"/>
      <c r="X197" s="50"/>
      <c r="Y197" s="50"/>
      <c r="Z197" s="50"/>
    </row>
    <row r="198" spans="1:26" ht="15.75" customHeight="1" x14ac:dyDescent="0.35">
      <c r="A198" s="50"/>
      <c r="B198" s="53" t="s">
        <v>158</v>
      </c>
      <c r="C198" s="47" t="s">
        <v>109</v>
      </c>
      <c r="D198" s="145">
        <f t="shared" ref="D198:P198" si="162">IFERROR(D132/D101,"")</f>
        <v>0.1</v>
      </c>
      <c r="E198" s="145">
        <f t="shared" si="162"/>
        <v>0.1</v>
      </c>
      <c r="F198" s="145">
        <f t="shared" si="162"/>
        <v>0.1</v>
      </c>
      <c r="G198" s="145">
        <f t="shared" si="162"/>
        <v>0.10396039603960396</v>
      </c>
      <c r="H198" s="145">
        <f t="shared" si="162"/>
        <v>0.10807763944711303</v>
      </c>
      <c r="I198" s="145">
        <f t="shared" si="162"/>
        <v>0.11235794199947395</v>
      </c>
      <c r="J198" s="145">
        <f t="shared" si="162"/>
        <v>0.11680776148460163</v>
      </c>
      <c r="K198" s="145">
        <f t="shared" si="162"/>
        <v>0.12143381144438785</v>
      </c>
      <c r="L198" s="145">
        <f t="shared" si="162"/>
        <v>0.12624307130357154</v>
      </c>
      <c r="M198" s="145">
        <f t="shared" si="162"/>
        <v>0.13124279689975263</v>
      </c>
      <c r="N198" s="145">
        <f t="shared" si="162"/>
        <v>0.13644053143043591</v>
      </c>
      <c r="O198" s="145">
        <f t="shared" si="162"/>
        <v>0.14184411683362147</v>
      </c>
      <c r="P198" s="146">
        <f t="shared" si="162"/>
        <v>0.14746170561911143</v>
      </c>
      <c r="Q198" s="50"/>
      <c r="R198" s="50"/>
      <c r="S198" s="50"/>
      <c r="T198" s="50"/>
      <c r="U198" s="50"/>
      <c r="V198" s="50"/>
      <c r="W198" s="50"/>
      <c r="X198" s="50"/>
      <c r="Y198" s="50"/>
      <c r="Z198" s="50"/>
    </row>
    <row r="199" spans="1:26" ht="15.75" customHeight="1" x14ac:dyDescent="0.35">
      <c r="A199" s="50"/>
      <c r="B199" s="147" t="s">
        <v>140</v>
      </c>
      <c r="C199" s="148" t="s">
        <v>109</v>
      </c>
      <c r="D199" s="149">
        <f t="shared" ref="D199:P199" si="163">D133/D102</f>
        <v>0.1</v>
      </c>
      <c r="E199" s="149">
        <f t="shared" si="163"/>
        <v>0.1</v>
      </c>
      <c r="F199" s="149">
        <f t="shared" si="163"/>
        <v>0.1</v>
      </c>
      <c r="G199" s="149">
        <f t="shared" si="163"/>
        <v>0.10396039603960396</v>
      </c>
      <c r="H199" s="149">
        <f t="shared" si="163"/>
        <v>0.108077639447113</v>
      </c>
      <c r="I199" s="149">
        <f t="shared" si="163"/>
        <v>0.11235794199947401</v>
      </c>
      <c r="J199" s="149">
        <f t="shared" si="163"/>
        <v>0.11680776148460169</v>
      </c>
      <c r="K199" s="149">
        <f t="shared" si="163"/>
        <v>0.12143381144438789</v>
      </c>
      <c r="L199" s="149">
        <f t="shared" si="163"/>
        <v>0.12624307130357151</v>
      </c>
      <c r="M199" s="149">
        <f t="shared" si="163"/>
        <v>0.13124279689975263</v>
      </c>
      <c r="N199" s="149">
        <f t="shared" si="163"/>
        <v>0.13644053143043586</v>
      </c>
      <c r="O199" s="149">
        <f t="shared" si="163"/>
        <v>0.1418441168336215</v>
      </c>
      <c r="P199" s="150">
        <f t="shared" si="163"/>
        <v>0.14746170561911143</v>
      </c>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x14ac:dyDescent="0.3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x14ac:dyDescent="0.3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x14ac:dyDescent="0.3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x14ac:dyDescent="0.35">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x14ac:dyDescent="0.35">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x14ac:dyDescent="0.3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x14ac:dyDescent="0.35">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x14ac:dyDescent="0.35">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x14ac:dyDescent="0.35">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x14ac:dyDescent="0.35">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x14ac:dyDescent="0.35">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x14ac:dyDescent="0.35">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x14ac:dyDescent="0.35">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x14ac:dyDescent="0.35">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x14ac:dyDescent="0.35">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x14ac:dyDescent="0.3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x14ac:dyDescent="0.35">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x14ac:dyDescent="0.35">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x14ac:dyDescent="0.35">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x14ac:dyDescent="0.35">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x14ac:dyDescent="0.35">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x14ac:dyDescent="0.35">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x14ac:dyDescent="0.35">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x14ac:dyDescent="0.35">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x14ac:dyDescent="0.35">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x14ac:dyDescent="0.3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x14ac:dyDescent="0.35">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x14ac:dyDescent="0.35">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x14ac:dyDescent="0.35">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x14ac:dyDescent="0.35">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x14ac:dyDescent="0.35">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x14ac:dyDescent="0.35">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x14ac:dyDescent="0.35">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x14ac:dyDescent="0.35">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x14ac:dyDescent="0.35">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x14ac:dyDescent="0.3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x14ac:dyDescent="0.35">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x14ac:dyDescent="0.35">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x14ac:dyDescent="0.35">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x14ac:dyDescent="0.35">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x14ac:dyDescent="0.35">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x14ac:dyDescent="0.35">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x14ac:dyDescent="0.35">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x14ac:dyDescent="0.35">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x14ac:dyDescent="0.35">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x14ac:dyDescent="0.3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x14ac:dyDescent="0.35">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x14ac:dyDescent="0.35">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x14ac:dyDescent="0.35">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x14ac:dyDescent="0.35">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x14ac:dyDescent="0.35">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x14ac:dyDescent="0.35">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x14ac:dyDescent="0.35">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x14ac:dyDescent="0.35">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x14ac:dyDescent="0.35">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x14ac:dyDescent="0.3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x14ac:dyDescent="0.35">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x14ac:dyDescent="0.35">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x14ac:dyDescent="0.35">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x14ac:dyDescent="0.35">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x14ac:dyDescent="0.35">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x14ac:dyDescent="0.35">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x14ac:dyDescent="0.35">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x14ac:dyDescent="0.35">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x14ac:dyDescent="0.35">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x14ac:dyDescent="0.3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x14ac:dyDescent="0.35">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x14ac:dyDescent="0.35">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x14ac:dyDescent="0.35">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x14ac:dyDescent="0.35">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x14ac:dyDescent="0.35">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x14ac:dyDescent="0.35">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x14ac:dyDescent="0.35">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x14ac:dyDescent="0.35">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x14ac:dyDescent="0.3"/>
    <row r="345" spans="1:26" ht="15.75" customHeight="1" x14ac:dyDescent="0.3"/>
    <row r="346" spans="1:26" ht="15.75" customHeight="1" x14ac:dyDescent="0.3"/>
    <row r="347" spans="1:26" ht="15.75" customHeight="1" x14ac:dyDescent="0.3"/>
    <row r="348" spans="1:26" ht="15.75" customHeight="1" x14ac:dyDescent="0.3"/>
    <row r="349" spans="1:26" ht="15.75" customHeight="1" x14ac:dyDescent="0.3"/>
    <row r="350" spans="1:26" ht="15.75" customHeight="1" x14ac:dyDescent="0.3"/>
    <row r="351" spans="1:26" ht="15.75" customHeight="1" x14ac:dyDescent="0.3"/>
    <row r="352" spans="1:26"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5">
    <mergeCell ref="G76:L76"/>
    <mergeCell ref="D85:F85"/>
    <mergeCell ref="D182:F182"/>
    <mergeCell ref="B4:D4"/>
    <mergeCell ref="B5:D5"/>
    <mergeCell ref="B6:J6"/>
    <mergeCell ref="B7:D7"/>
    <mergeCell ref="B8:J8"/>
    <mergeCell ref="D10:F10"/>
    <mergeCell ref="G11:L11"/>
    <mergeCell ref="G27:L27"/>
    <mergeCell ref="G43:L43"/>
    <mergeCell ref="G59:L59"/>
    <mergeCell ref="G74:J74"/>
    <mergeCell ref="G75:J75"/>
  </mergeCells>
  <dataValidations count="1">
    <dataValidation type="list" allowBlank="1" showErrorMessage="1" sqref="D76" xr:uid="{00000000-0002-0000-0500-000000000000}">
      <formula1>"High,Medium,Low"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79.8984375" customWidth="1"/>
    <col min="3" max="3" width="7.09765625" customWidth="1"/>
    <col min="4" max="4" width="16.59765625" customWidth="1"/>
    <col min="5" max="5" width="19.3984375" customWidth="1"/>
    <col min="6" max="6" width="18.09765625" customWidth="1"/>
    <col min="7" max="7" width="19.8984375" customWidth="1"/>
    <col min="8" max="9" width="14.09765625" customWidth="1"/>
    <col min="10" max="10" width="18.5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74</v>
      </c>
      <c r="C2" s="32"/>
      <c r="D2" s="33" t="s">
        <v>141</v>
      </c>
      <c r="E2" s="77"/>
      <c r="F2" s="79"/>
      <c r="G2" s="34" t="s">
        <v>54</v>
      </c>
      <c r="H2" s="32"/>
      <c r="I2" s="32"/>
      <c r="J2" s="32"/>
      <c r="K2" s="32"/>
      <c r="L2" s="50"/>
      <c r="M2" s="50"/>
      <c r="N2" s="50"/>
      <c r="O2" s="50"/>
      <c r="P2" s="50"/>
      <c r="Q2" s="50"/>
      <c r="R2" s="50"/>
      <c r="S2" s="50"/>
      <c r="T2" s="50"/>
      <c r="U2" s="50"/>
      <c r="V2" s="50"/>
      <c r="W2" s="50"/>
      <c r="X2" s="50"/>
      <c r="Y2" s="50"/>
      <c r="Z2" s="50"/>
    </row>
    <row r="3" spans="1:26" ht="15.5" x14ac:dyDescent="0.35">
      <c r="A3" s="50"/>
      <c r="B3" s="31"/>
      <c r="C3" s="32"/>
      <c r="D3" s="79" t="s">
        <v>77</v>
      </c>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3"/>
      <c r="E4" s="151"/>
      <c r="F4" s="151"/>
      <c r="G4" s="152"/>
      <c r="H4" s="152"/>
      <c r="I4" s="152"/>
      <c r="J4" s="153"/>
      <c r="K4" s="32"/>
      <c r="L4" s="50"/>
      <c r="M4" s="50"/>
      <c r="N4" s="50"/>
      <c r="O4" s="50"/>
      <c r="P4" s="50"/>
      <c r="Q4" s="50"/>
      <c r="R4" s="50"/>
      <c r="S4" s="50"/>
      <c r="T4" s="50"/>
      <c r="U4" s="50"/>
      <c r="V4" s="50"/>
      <c r="W4" s="50"/>
      <c r="X4" s="50"/>
      <c r="Y4" s="50"/>
      <c r="Z4" s="50"/>
    </row>
    <row r="5" spans="1:26" ht="15.5" x14ac:dyDescent="0.35">
      <c r="A5" s="50"/>
      <c r="B5" s="556" t="s">
        <v>79</v>
      </c>
      <c r="C5" s="546"/>
      <c r="D5" s="534"/>
      <c r="E5" s="81"/>
      <c r="F5" s="81"/>
      <c r="G5" s="81"/>
      <c r="H5" s="81"/>
      <c r="I5" s="81"/>
      <c r="J5" s="82"/>
      <c r="K5" s="32"/>
      <c r="L5" s="50"/>
      <c r="M5" s="50"/>
      <c r="N5" s="50"/>
      <c r="O5" s="50"/>
      <c r="P5" s="50"/>
      <c r="Q5" s="50"/>
      <c r="R5" s="50"/>
      <c r="S5" s="50"/>
      <c r="T5" s="50"/>
      <c r="U5" s="50"/>
      <c r="V5" s="50"/>
      <c r="W5" s="50"/>
      <c r="X5" s="50"/>
      <c r="Y5" s="50"/>
      <c r="Z5" s="50"/>
    </row>
    <row r="6" spans="1:26" ht="40.5" customHeight="1" x14ac:dyDescent="0.35">
      <c r="A6" s="50"/>
      <c r="B6" s="568" t="s">
        <v>80</v>
      </c>
      <c r="C6" s="560"/>
      <c r="D6" s="560"/>
      <c r="E6" s="560"/>
      <c r="F6" s="560"/>
      <c r="G6" s="560"/>
      <c r="H6" s="560"/>
      <c r="I6" s="560"/>
      <c r="J6" s="561"/>
      <c r="K6" s="32"/>
      <c r="L6" s="50"/>
      <c r="M6" s="50"/>
      <c r="N6" s="50"/>
      <c r="O6" s="50"/>
      <c r="P6" s="50"/>
      <c r="Q6" s="50"/>
      <c r="R6" s="50"/>
      <c r="S6" s="50"/>
      <c r="T6" s="50"/>
      <c r="U6" s="50"/>
      <c r="V6" s="50"/>
      <c r="W6" s="50"/>
      <c r="X6" s="50"/>
      <c r="Y6" s="50"/>
      <c r="Z6" s="50"/>
    </row>
    <row r="7" spans="1:26" ht="21.75" customHeight="1" x14ac:dyDescent="0.35">
      <c r="A7" s="50"/>
      <c r="B7" s="556" t="s">
        <v>81</v>
      </c>
      <c r="C7" s="546"/>
      <c r="D7" s="534"/>
      <c r="E7" s="81"/>
      <c r="F7" s="81"/>
      <c r="G7" s="81"/>
      <c r="H7" s="81"/>
      <c r="I7" s="81"/>
      <c r="J7" s="82"/>
      <c r="K7" s="32"/>
      <c r="L7" s="50"/>
      <c r="M7" s="50"/>
      <c r="N7" s="50"/>
      <c r="O7" s="50"/>
      <c r="P7" s="50"/>
      <c r="Q7" s="50"/>
      <c r="R7" s="50"/>
      <c r="S7" s="50"/>
      <c r="T7" s="50"/>
      <c r="U7" s="50"/>
      <c r="V7" s="50"/>
      <c r="W7" s="50"/>
      <c r="X7" s="50"/>
      <c r="Y7" s="50"/>
      <c r="Z7" s="50"/>
    </row>
    <row r="8" spans="1:26" ht="51.75" customHeight="1" x14ac:dyDescent="0.35">
      <c r="A8" s="50"/>
      <c r="B8" s="568" t="s">
        <v>82</v>
      </c>
      <c r="C8" s="560"/>
      <c r="D8" s="560"/>
      <c r="E8" s="560"/>
      <c r="F8" s="560"/>
      <c r="G8" s="560"/>
      <c r="H8" s="560"/>
      <c r="I8" s="560"/>
      <c r="J8" s="561"/>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5"/>
      <c r="J10" s="85"/>
      <c r="K10" s="85"/>
      <c r="L10" s="86"/>
      <c r="M10" s="50"/>
      <c r="N10" s="50"/>
      <c r="O10" s="50"/>
      <c r="P10" s="50"/>
      <c r="Q10" s="50"/>
      <c r="R10" s="50"/>
      <c r="S10" s="50"/>
      <c r="T10" s="50"/>
      <c r="U10" s="50"/>
      <c r="V10" s="50"/>
      <c r="W10" s="50"/>
      <c r="X10" s="50"/>
      <c r="Y10" s="50"/>
      <c r="Z10" s="50"/>
    </row>
    <row r="11" spans="1:26" ht="40.5" customHeight="1" x14ac:dyDescent="0.35">
      <c r="A11" s="50"/>
      <c r="B11" s="87" t="s">
        <v>164</v>
      </c>
      <c r="C11" s="88"/>
      <c r="D11" s="43" t="s">
        <v>89</v>
      </c>
      <c r="E11" s="43" t="s">
        <v>90</v>
      </c>
      <c r="F11" s="43" t="s">
        <v>91</v>
      </c>
      <c r="G11" s="563" t="s">
        <v>92</v>
      </c>
      <c r="H11" s="546"/>
      <c r="I11" s="546"/>
      <c r="J11" s="546"/>
      <c r="K11" s="546"/>
      <c r="L11" s="558"/>
      <c r="M11" s="50"/>
      <c r="N11" s="50"/>
      <c r="O11" s="50"/>
      <c r="P11" s="50"/>
      <c r="Q11" s="50"/>
      <c r="R11" s="50"/>
      <c r="S11" s="50"/>
      <c r="T11" s="50"/>
      <c r="U11" s="50"/>
      <c r="V11" s="50"/>
      <c r="W11" s="50"/>
      <c r="X11" s="50"/>
      <c r="Y11" s="50"/>
      <c r="Z11" s="50"/>
    </row>
    <row r="12" spans="1:26" ht="15.75" customHeight="1" x14ac:dyDescent="0.35">
      <c r="A12" s="50"/>
      <c r="B12" s="89" t="s">
        <v>165</v>
      </c>
      <c r="C12" s="88" t="s">
        <v>94</v>
      </c>
      <c r="D12" s="90">
        <v>1000</v>
      </c>
      <c r="E12" s="90">
        <v>1000</v>
      </c>
      <c r="F12" s="90">
        <v>1000</v>
      </c>
      <c r="G12" s="91"/>
      <c r="H12" s="91"/>
      <c r="I12" s="91"/>
      <c r="J12" s="91"/>
      <c r="K12" s="91"/>
      <c r="L12" s="92"/>
      <c r="M12" s="50"/>
      <c r="N12" s="50"/>
      <c r="O12" s="50"/>
      <c r="P12" s="50"/>
      <c r="Q12" s="50"/>
      <c r="R12" s="50"/>
      <c r="S12" s="50"/>
      <c r="T12" s="50"/>
      <c r="U12" s="50"/>
      <c r="V12" s="50"/>
      <c r="W12" s="50"/>
      <c r="X12" s="50"/>
      <c r="Y12" s="50"/>
      <c r="Z12" s="50"/>
    </row>
    <row r="13" spans="1:26" ht="15.75" customHeight="1" x14ac:dyDescent="0.35">
      <c r="A13" s="50"/>
      <c r="B13" s="89" t="s">
        <v>166</v>
      </c>
      <c r="C13" s="88" t="s">
        <v>94</v>
      </c>
      <c r="D13" s="90">
        <v>1000</v>
      </c>
      <c r="E13" s="90">
        <v>1000</v>
      </c>
      <c r="F13" s="90">
        <v>1000</v>
      </c>
      <c r="G13" s="91"/>
      <c r="H13" s="91"/>
      <c r="I13" s="91"/>
      <c r="J13" s="91"/>
      <c r="K13" s="91"/>
      <c r="L13" s="92"/>
      <c r="M13" s="50"/>
      <c r="N13" s="50"/>
      <c r="O13" s="50"/>
      <c r="P13" s="50"/>
      <c r="Q13" s="50"/>
      <c r="R13" s="50"/>
      <c r="S13" s="50"/>
      <c r="T13" s="50"/>
      <c r="U13" s="50"/>
      <c r="V13" s="50"/>
      <c r="W13" s="50"/>
      <c r="X13" s="50"/>
      <c r="Y13" s="50"/>
      <c r="Z13" s="50"/>
    </row>
    <row r="14" spans="1:26" ht="15.75" customHeight="1" x14ac:dyDescent="0.35">
      <c r="A14" s="50"/>
      <c r="B14" s="89" t="s">
        <v>167</v>
      </c>
      <c r="C14" s="88" t="s">
        <v>94</v>
      </c>
      <c r="D14" s="90">
        <v>1000</v>
      </c>
      <c r="E14" s="90">
        <v>1000</v>
      </c>
      <c r="F14" s="90">
        <v>1000</v>
      </c>
      <c r="G14" s="91"/>
      <c r="H14" s="91"/>
      <c r="I14" s="91"/>
      <c r="J14" s="91"/>
      <c r="K14" s="91"/>
      <c r="L14" s="92"/>
      <c r="M14" s="50"/>
      <c r="N14" s="50"/>
      <c r="O14" s="50"/>
      <c r="P14" s="50"/>
      <c r="Q14" s="50"/>
      <c r="R14" s="50"/>
      <c r="S14" s="50"/>
      <c r="T14" s="50"/>
      <c r="U14" s="50"/>
      <c r="V14" s="50"/>
      <c r="W14" s="50"/>
      <c r="X14" s="50"/>
      <c r="Y14" s="50"/>
      <c r="Z14" s="50"/>
    </row>
    <row r="15" spans="1:26" ht="15.75" customHeight="1" x14ac:dyDescent="0.35">
      <c r="A15" s="50" t="s">
        <v>168</v>
      </c>
      <c r="B15" s="89" t="s">
        <v>169</v>
      </c>
      <c r="C15" s="88" t="s">
        <v>94</v>
      </c>
      <c r="D15" s="90">
        <v>1000</v>
      </c>
      <c r="E15" s="90">
        <v>1000</v>
      </c>
      <c r="F15" s="90">
        <v>1000</v>
      </c>
      <c r="G15" s="91"/>
      <c r="H15" s="91"/>
      <c r="I15" s="91"/>
      <c r="J15" s="91"/>
      <c r="K15" s="91"/>
      <c r="L15" s="92"/>
      <c r="M15" s="50"/>
      <c r="N15" s="50"/>
      <c r="O15" s="50"/>
      <c r="P15" s="50"/>
      <c r="Q15" s="50"/>
      <c r="R15" s="50"/>
      <c r="S15" s="50"/>
      <c r="T15" s="50"/>
      <c r="U15" s="50"/>
      <c r="V15" s="50"/>
      <c r="W15" s="50"/>
      <c r="X15" s="50"/>
      <c r="Y15" s="50"/>
      <c r="Z15" s="50"/>
    </row>
    <row r="16" spans="1:26" ht="15.75" customHeight="1" x14ac:dyDescent="0.35">
      <c r="A16" s="50"/>
      <c r="B16" s="89" t="s">
        <v>170</v>
      </c>
      <c r="C16" s="88" t="s">
        <v>94</v>
      </c>
      <c r="D16" s="90">
        <v>1000</v>
      </c>
      <c r="E16" s="90">
        <v>1000</v>
      </c>
      <c r="F16" s="90">
        <v>1000</v>
      </c>
      <c r="G16" s="91"/>
      <c r="H16" s="91"/>
      <c r="I16" s="91"/>
      <c r="J16" s="91"/>
      <c r="K16" s="91"/>
      <c r="L16" s="92"/>
      <c r="M16" s="50"/>
      <c r="N16" s="50"/>
      <c r="O16" s="50"/>
      <c r="P16" s="50"/>
      <c r="Q16" s="50"/>
      <c r="R16" s="50"/>
      <c r="S16" s="50"/>
      <c r="T16" s="50"/>
      <c r="U16" s="50"/>
      <c r="V16" s="50"/>
      <c r="W16" s="50"/>
      <c r="X16" s="50"/>
      <c r="Y16" s="50"/>
      <c r="Z16" s="50"/>
    </row>
    <row r="17" spans="1:26" ht="15.75" customHeight="1" x14ac:dyDescent="0.35">
      <c r="A17" s="50"/>
      <c r="B17" s="89" t="s">
        <v>171</v>
      </c>
      <c r="C17" s="88" t="s">
        <v>94</v>
      </c>
      <c r="D17" s="90">
        <v>1000</v>
      </c>
      <c r="E17" s="90">
        <v>1000</v>
      </c>
      <c r="F17" s="90">
        <v>1000</v>
      </c>
      <c r="G17" s="91"/>
      <c r="H17" s="91"/>
      <c r="I17" s="91"/>
      <c r="J17" s="91"/>
      <c r="K17" s="91"/>
      <c r="L17" s="92"/>
      <c r="M17" s="50"/>
      <c r="N17" s="50"/>
      <c r="O17" s="50"/>
      <c r="P17" s="50"/>
      <c r="Q17" s="50"/>
      <c r="R17" s="50"/>
      <c r="S17" s="50"/>
      <c r="T17" s="50"/>
      <c r="U17" s="50"/>
      <c r="V17" s="50"/>
      <c r="W17" s="50"/>
      <c r="X17" s="50"/>
      <c r="Y17" s="50"/>
      <c r="Z17" s="50"/>
    </row>
    <row r="18" spans="1:26" ht="15.75" customHeight="1" x14ac:dyDescent="0.35">
      <c r="A18" s="50"/>
      <c r="B18" s="89" t="s">
        <v>172</v>
      </c>
      <c r="C18" s="88" t="s">
        <v>94</v>
      </c>
      <c r="D18" s="90">
        <v>1000</v>
      </c>
      <c r="E18" s="90">
        <v>1000</v>
      </c>
      <c r="F18" s="90">
        <v>1000</v>
      </c>
      <c r="G18" s="91"/>
      <c r="H18" s="91"/>
      <c r="I18" s="91"/>
      <c r="J18" s="91"/>
      <c r="K18" s="91"/>
      <c r="L18" s="92"/>
      <c r="M18" s="50"/>
      <c r="N18" s="50"/>
      <c r="O18" s="50"/>
      <c r="P18" s="50"/>
      <c r="Q18" s="50"/>
      <c r="R18" s="50"/>
      <c r="S18" s="50"/>
      <c r="T18" s="50"/>
      <c r="U18" s="50"/>
      <c r="V18" s="50"/>
      <c r="W18" s="50"/>
      <c r="X18" s="50"/>
      <c r="Y18" s="50"/>
      <c r="Z18" s="50"/>
    </row>
    <row r="19" spans="1:26" ht="15.75" customHeight="1" x14ac:dyDescent="0.35">
      <c r="A19" s="50"/>
      <c r="B19" s="89" t="s">
        <v>173</v>
      </c>
      <c r="C19" s="88" t="s">
        <v>94</v>
      </c>
      <c r="D19" s="90">
        <v>1000</v>
      </c>
      <c r="E19" s="90">
        <v>1000</v>
      </c>
      <c r="F19" s="90">
        <v>1000</v>
      </c>
      <c r="G19" s="91"/>
      <c r="H19" s="91"/>
      <c r="I19" s="91"/>
      <c r="J19" s="91"/>
      <c r="K19" s="91"/>
      <c r="L19" s="92"/>
      <c r="M19" s="50"/>
      <c r="N19" s="50"/>
      <c r="O19" s="50"/>
      <c r="P19" s="50"/>
      <c r="Q19" s="50"/>
      <c r="R19" s="50"/>
      <c r="S19" s="50"/>
      <c r="T19" s="50"/>
      <c r="U19" s="50"/>
      <c r="V19" s="50"/>
      <c r="W19" s="50"/>
      <c r="X19" s="50"/>
      <c r="Y19" s="50"/>
      <c r="Z19" s="50"/>
    </row>
    <row r="20" spans="1:26" ht="15.75" customHeight="1" x14ac:dyDescent="0.35">
      <c r="A20" s="50"/>
      <c r="B20" s="89" t="s">
        <v>174</v>
      </c>
      <c r="C20" s="88" t="s">
        <v>94</v>
      </c>
      <c r="D20" s="90">
        <v>1000</v>
      </c>
      <c r="E20" s="90">
        <v>1000</v>
      </c>
      <c r="F20" s="90">
        <v>1000</v>
      </c>
      <c r="G20" s="91"/>
      <c r="H20" s="91"/>
      <c r="I20" s="91"/>
      <c r="J20" s="91"/>
      <c r="K20" s="91"/>
      <c r="L20" s="92"/>
      <c r="M20" s="50"/>
      <c r="N20" s="50"/>
      <c r="O20" s="50"/>
      <c r="P20" s="50"/>
      <c r="Q20" s="50"/>
      <c r="R20" s="50"/>
      <c r="S20" s="50"/>
      <c r="T20" s="50"/>
      <c r="U20" s="50"/>
      <c r="V20" s="50"/>
      <c r="W20" s="50"/>
      <c r="X20" s="50"/>
      <c r="Y20" s="50"/>
      <c r="Z20" s="50"/>
    </row>
    <row r="21" spans="1:26" ht="15.75" customHeight="1" x14ac:dyDescent="0.35">
      <c r="A21" s="50"/>
      <c r="B21" s="89" t="s">
        <v>175</v>
      </c>
      <c r="C21" s="88" t="s">
        <v>94</v>
      </c>
      <c r="D21" s="90">
        <v>1000</v>
      </c>
      <c r="E21" s="90">
        <v>1000</v>
      </c>
      <c r="F21" s="90">
        <v>1000</v>
      </c>
      <c r="G21" s="91"/>
      <c r="H21" s="91"/>
      <c r="I21" s="91"/>
      <c r="J21" s="91"/>
      <c r="K21" s="91"/>
      <c r="L21" s="92"/>
      <c r="M21" s="50"/>
      <c r="N21" s="50"/>
      <c r="O21" s="50"/>
      <c r="P21" s="50"/>
      <c r="Q21" s="50"/>
      <c r="R21" s="50"/>
      <c r="S21" s="50"/>
      <c r="T21" s="50"/>
      <c r="U21" s="50"/>
      <c r="V21" s="50"/>
      <c r="W21" s="50"/>
      <c r="X21" s="50"/>
      <c r="Y21" s="50"/>
      <c r="Z21" s="50"/>
    </row>
    <row r="22" spans="1:26" ht="15.75" customHeight="1" x14ac:dyDescent="0.35">
      <c r="A22" s="50"/>
      <c r="B22" s="89" t="s">
        <v>176</v>
      </c>
      <c r="C22" s="88" t="s">
        <v>94</v>
      </c>
      <c r="D22" s="90">
        <v>1000</v>
      </c>
      <c r="E22" s="90">
        <v>1000</v>
      </c>
      <c r="F22" s="90">
        <v>1000</v>
      </c>
      <c r="G22" s="91"/>
      <c r="H22" s="91"/>
      <c r="I22" s="91"/>
      <c r="J22" s="91"/>
      <c r="K22" s="91"/>
      <c r="L22" s="92"/>
      <c r="M22" s="50"/>
      <c r="N22" s="50"/>
      <c r="O22" s="50"/>
      <c r="P22" s="50"/>
      <c r="Q22" s="50"/>
      <c r="R22" s="50"/>
      <c r="S22" s="50"/>
      <c r="T22" s="50"/>
      <c r="U22" s="50"/>
      <c r="V22" s="50"/>
      <c r="W22" s="50"/>
      <c r="X22" s="50"/>
      <c r="Y22" s="50"/>
      <c r="Z22" s="50"/>
    </row>
    <row r="23" spans="1:26" ht="15.75" customHeight="1" x14ac:dyDescent="0.35">
      <c r="A23" s="50"/>
      <c r="B23" s="93" t="s">
        <v>65</v>
      </c>
      <c r="C23" s="88" t="s">
        <v>94</v>
      </c>
      <c r="D23" s="94">
        <f t="shared" ref="D23:F23" si="0">SUM(D12:D22)</f>
        <v>11000</v>
      </c>
      <c r="E23" s="94">
        <f t="shared" si="0"/>
        <v>11000</v>
      </c>
      <c r="F23" s="94">
        <f t="shared" si="0"/>
        <v>11000</v>
      </c>
      <c r="G23" s="91"/>
      <c r="H23" s="91"/>
      <c r="I23" s="91"/>
      <c r="J23" s="91"/>
      <c r="K23" s="91"/>
      <c r="L23" s="92"/>
      <c r="M23" s="50"/>
      <c r="N23" s="50"/>
      <c r="O23" s="50"/>
      <c r="P23" s="50"/>
      <c r="Q23" s="50"/>
      <c r="R23" s="50"/>
      <c r="S23" s="50"/>
      <c r="T23" s="50"/>
      <c r="U23" s="50"/>
      <c r="V23" s="50"/>
      <c r="W23" s="50"/>
      <c r="X23" s="50"/>
      <c r="Y23" s="50"/>
      <c r="Z23" s="50"/>
    </row>
    <row r="24" spans="1:26" ht="39.75" customHeight="1" x14ac:dyDescent="0.35">
      <c r="A24" s="50"/>
      <c r="B24" s="87" t="s">
        <v>177</v>
      </c>
      <c r="C24" s="88"/>
      <c r="D24" s="43" t="s">
        <v>89</v>
      </c>
      <c r="E24" s="43" t="s">
        <v>90</v>
      </c>
      <c r="F24" s="43" t="s">
        <v>91</v>
      </c>
      <c r="G24" s="563" t="s">
        <v>92</v>
      </c>
      <c r="H24" s="546"/>
      <c r="I24" s="546"/>
      <c r="J24" s="546"/>
      <c r="K24" s="546"/>
      <c r="L24" s="558"/>
      <c r="M24" s="50"/>
      <c r="N24" s="50"/>
      <c r="O24" s="50"/>
      <c r="P24" s="50"/>
      <c r="Q24" s="50"/>
      <c r="R24" s="50"/>
      <c r="S24" s="50"/>
      <c r="T24" s="50"/>
      <c r="U24" s="50"/>
      <c r="V24" s="50"/>
      <c r="W24" s="50"/>
      <c r="X24" s="50"/>
      <c r="Y24" s="50"/>
      <c r="Z24" s="50"/>
    </row>
    <row r="25" spans="1:26" ht="15.75" customHeight="1" x14ac:dyDescent="0.35">
      <c r="A25" s="50"/>
      <c r="B25" s="89" t="s">
        <v>165</v>
      </c>
      <c r="C25" s="88" t="s">
        <v>94</v>
      </c>
      <c r="D25" s="90">
        <v>100</v>
      </c>
      <c r="E25" s="90">
        <v>100</v>
      </c>
      <c r="F25" s="90">
        <v>100</v>
      </c>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89" t="s">
        <v>166</v>
      </c>
      <c r="C26" s="88" t="s">
        <v>94</v>
      </c>
      <c r="D26" s="90">
        <v>100</v>
      </c>
      <c r="E26" s="90">
        <v>100</v>
      </c>
      <c r="F26" s="90">
        <v>100</v>
      </c>
      <c r="G26" s="91"/>
      <c r="H26" s="91"/>
      <c r="I26" s="91"/>
      <c r="J26" s="91"/>
      <c r="K26" s="91"/>
      <c r="L26" s="92"/>
      <c r="M26" s="50"/>
      <c r="N26" s="50"/>
      <c r="O26" s="50"/>
      <c r="P26" s="50"/>
      <c r="Q26" s="50"/>
      <c r="R26" s="50"/>
      <c r="S26" s="50"/>
      <c r="T26" s="50"/>
      <c r="U26" s="50"/>
      <c r="V26" s="50"/>
      <c r="W26" s="50"/>
      <c r="X26" s="50"/>
      <c r="Y26" s="50"/>
      <c r="Z26" s="50"/>
    </row>
    <row r="27" spans="1:26" ht="15.75" customHeight="1" x14ac:dyDescent="0.35">
      <c r="A27" s="50"/>
      <c r="B27" s="89" t="s">
        <v>167</v>
      </c>
      <c r="C27" s="88" t="s">
        <v>94</v>
      </c>
      <c r="D27" s="90">
        <v>100</v>
      </c>
      <c r="E27" s="90">
        <v>100</v>
      </c>
      <c r="F27" s="90">
        <v>100</v>
      </c>
      <c r="G27" s="91"/>
      <c r="H27" s="91"/>
      <c r="I27" s="91"/>
      <c r="J27" s="91"/>
      <c r="K27" s="91"/>
      <c r="L27" s="92"/>
      <c r="M27" s="50"/>
      <c r="N27" s="50"/>
      <c r="O27" s="50"/>
      <c r="P27" s="50"/>
      <c r="Q27" s="50"/>
      <c r="R27" s="50"/>
      <c r="S27" s="50"/>
      <c r="T27" s="50"/>
      <c r="U27" s="50"/>
      <c r="V27" s="50"/>
      <c r="W27" s="50"/>
      <c r="X27" s="50"/>
      <c r="Y27" s="50"/>
      <c r="Z27" s="50"/>
    </row>
    <row r="28" spans="1:26" ht="15.75" customHeight="1" x14ac:dyDescent="0.35">
      <c r="A28" s="50"/>
      <c r="B28" s="89" t="s">
        <v>169</v>
      </c>
      <c r="C28" s="88" t="s">
        <v>94</v>
      </c>
      <c r="D28" s="90">
        <v>100</v>
      </c>
      <c r="E28" s="90">
        <v>100</v>
      </c>
      <c r="F28" s="90">
        <v>100</v>
      </c>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89" t="s">
        <v>170</v>
      </c>
      <c r="C29" s="88" t="s">
        <v>94</v>
      </c>
      <c r="D29" s="90">
        <v>100</v>
      </c>
      <c r="E29" s="90">
        <v>100</v>
      </c>
      <c r="F29" s="90">
        <v>100</v>
      </c>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89" t="s">
        <v>171</v>
      </c>
      <c r="C30" s="88" t="s">
        <v>94</v>
      </c>
      <c r="D30" s="90">
        <v>100</v>
      </c>
      <c r="E30" s="90">
        <v>100</v>
      </c>
      <c r="F30" s="90">
        <v>100</v>
      </c>
      <c r="G30" s="91"/>
      <c r="H30" s="91"/>
      <c r="I30" s="91"/>
      <c r="J30" s="91"/>
      <c r="K30" s="91"/>
      <c r="L30" s="92"/>
      <c r="M30" s="50"/>
      <c r="N30" s="50"/>
      <c r="O30" s="50"/>
      <c r="P30" s="50"/>
      <c r="Q30" s="50"/>
      <c r="R30" s="50"/>
      <c r="S30" s="50"/>
      <c r="T30" s="50"/>
      <c r="U30" s="50"/>
      <c r="V30" s="50"/>
      <c r="W30" s="50"/>
      <c r="X30" s="50"/>
      <c r="Y30" s="50"/>
      <c r="Z30" s="50"/>
    </row>
    <row r="31" spans="1:26" ht="15.75" customHeight="1" x14ac:dyDescent="0.35">
      <c r="A31" s="50"/>
      <c r="B31" s="89" t="s">
        <v>172</v>
      </c>
      <c r="C31" s="88" t="s">
        <v>94</v>
      </c>
      <c r="D31" s="90">
        <v>100</v>
      </c>
      <c r="E31" s="90">
        <v>100</v>
      </c>
      <c r="F31" s="90">
        <v>100</v>
      </c>
      <c r="G31" s="91"/>
      <c r="H31" s="91"/>
      <c r="I31" s="91"/>
      <c r="J31" s="91"/>
      <c r="K31" s="91"/>
      <c r="L31" s="92"/>
      <c r="M31" s="50"/>
      <c r="N31" s="50"/>
      <c r="O31" s="50"/>
      <c r="P31" s="50"/>
      <c r="Q31" s="50"/>
      <c r="R31" s="50"/>
      <c r="S31" s="50"/>
      <c r="T31" s="50"/>
      <c r="U31" s="50"/>
      <c r="V31" s="50"/>
      <c r="W31" s="50"/>
      <c r="X31" s="50"/>
      <c r="Y31" s="50"/>
      <c r="Z31" s="50"/>
    </row>
    <row r="32" spans="1:26" ht="15.75" customHeight="1" x14ac:dyDescent="0.35">
      <c r="A32" s="50"/>
      <c r="B32" s="89" t="s">
        <v>173</v>
      </c>
      <c r="C32" s="88" t="s">
        <v>94</v>
      </c>
      <c r="D32" s="90">
        <v>100</v>
      </c>
      <c r="E32" s="90">
        <v>100</v>
      </c>
      <c r="F32" s="90">
        <v>100</v>
      </c>
      <c r="G32" s="91"/>
      <c r="H32" s="91"/>
      <c r="I32" s="91"/>
      <c r="J32" s="91"/>
      <c r="K32" s="91"/>
      <c r="L32" s="92"/>
      <c r="M32" s="50"/>
      <c r="N32" s="50"/>
      <c r="O32" s="50"/>
      <c r="P32" s="50"/>
      <c r="Q32" s="50"/>
      <c r="R32" s="50"/>
      <c r="S32" s="50"/>
      <c r="T32" s="50"/>
      <c r="U32" s="50"/>
      <c r="V32" s="50"/>
      <c r="W32" s="50"/>
      <c r="X32" s="50"/>
      <c r="Y32" s="50"/>
      <c r="Z32" s="50"/>
    </row>
    <row r="33" spans="1:26" ht="15.75" customHeight="1" x14ac:dyDescent="0.35">
      <c r="A33" s="50"/>
      <c r="B33" s="89" t="s">
        <v>174</v>
      </c>
      <c r="C33" s="88" t="s">
        <v>94</v>
      </c>
      <c r="D33" s="90">
        <v>100</v>
      </c>
      <c r="E33" s="90">
        <v>100</v>
      </c>
      <c r="F33" s="90">
        <v>100</v>
      </c>
      <c r="G33" s="91"/>
      <c r="H33" s="91"/>
      <c r="I33" s="91"/>
      <c r="J33" s="91"/>
      <c r="K33" s="91"/>
      <c r="L33" s="92"/>
      <c r="M33" s="50"/>
      <c r="N33" s="50"/>
      <c r="O33" s="50"/>
      <c r="P33" s="50"/>
      <c r="Q33" s="50"/>
      <c r="R33" s="50"/>
      <c r="S33" s="50"/>
      <c r="T33" s="50"/>
      <c r="U33" s="50"/>
      <c r="V33" s="50"/>
      <c r="W33" s="50"/>
      <c r="X33" s="50"/>
      <c r="Y33" s="50"/>
      <c r="Z33" s="50"/>
    </row>
    <row r="34" spans="1:26" ht="15.75" customHeight="1" x14ac:dyDescent="0.35">
      <c r="A34" s="50"/>
      <c r="B34" s="89" t="s">
        <v>175</v>
      </c>
      <c r="C34" s="88" t="s">
        <v>94</v>
      </c>
      <c r="D34" s="90">
        <v>100</v>
      </c>
      <c r="E34" s="90">
        <v>100</v>
      </c>
      <c r="F34" s="90">
        <v>100</v>
      </c>
      <c r="G34" s="91"/>
      <c r="H34" s="91"/>
      <c r="I34" s="91"/>
      <c r="J34" s="91"/>
      <c r="K34" s="91"/>
      <c r="L34" s="92"/>
      <c r="M34" s="50"/>
      <c r="N34" s="50"/>
      <c r="O34" s="50"/>
      <c r="P34" s="50"/>
      <c r="Q34" s="50"/>
      <c r="R34" s="50"/>
      <c r="S34" s="50"/>
      <c r="T34" s="50"/>
      <c r="U34" s="50"/>
      <c r="V34" s="50"/>
      <c r="W34" s="50"/>
      <c r="X34" s="50"/>
      <c r="Y34" s="50"/>
      <c r="Z34" s="50"/>
    </row>
    <row r="35" spans="1:26" ht="15.75" customHeight="1" x14ac:dyDescent="0.35">
      <c r="A35" s="50"/>
      <c r="B35" s="89" t="s">
        <v>176</v>
      </c>
      <c r="C35" s="88" t="s">
        <v>94</v>
      </c>
      <c r="D35" s="90">
        <v>100</v>
      </c>
      <c r="E35" s="90">
        <v>100</v>
      </c>
      <c r="F35" s="90">
        <v>100</v>
      </c>
      <c r="G35" s="91"/>
      <c r="H35" s="91"/>
      <c r="I35" s="91"/>
      <c r="J35" s="91"/>
      <c r="K35" s="91"/>
      <c r="L35" s="92"/>
      <c r="M35" s="50"/>
      <c r="N35" s="50"/>
      <c r="O35" s="50"/>
      <c r="P35" s="50"/>
      <c r="Q35" s="50"/>
      <c r="R35" s="50"/>
      <c r="S35" s="50"/>
      <c r="T35" s="50"/>
      <c r="U35" s="50"/>
      <c r="V35" s="50"/>
      <c r="W35" s="50"/>
      <c r="X35" s="50"/>
      <c r="Y35" s="50"/>
      <c r="Z35" s="50"/>
    </row>
    <row r="36" spans="1:26" ht="15.75" customHeight="1" x14ac:dyDescent="0.35">
      <c r="A36" s="50"/>
      <c r="B36" s="93" t="s">
        <v>65</v>
      </c>
      <c r="C36" s="88" t="s">
        <v>94</v>
      </c>
      <c r="D36" s="94">
        <f t="shared" ref="D36:F36" si="1">SUM(D25:D35)</f>
        <v>1100</v>
      </c>
      <c r="E36" s="94">
        <f t="shared" si="1"/>
        <v>1100</v>
      </c>
      <c r="F36" s="94">
        <f t="shared" si="1"/>
        <v>1100</v>
      </c>
      <c r="G36" s="91"/>
      <c r="H36" s="91"/>
      <c r="I36" s="91"/>
      <c r="J36" s="91"/>
      <c r="K36" s="91"/>
      <c r="L36" s="92"/>
      <c r="M36" s="50"/>
      <c r="N36" s="50"/>
      <c r="O36" s="50"/>
      <c r="P36" s="50"/>
      <c r="Q36" s="50"/>
      <c r="R36" s="50"/>
      <c r="S36" s="50"/>
      <c r="T36" s="50"/>
      <c r="U36" s="50"/>
      <c r="V36" s="50"/>
      <c r="W36" s="50"/>
      <c r="X36" s="50"/>
      <c r="Y36" s="50"/>
      <c r="Z36" s="50"/>
    </row>
    <row r="37" spans="1:26" ht="31.5" customHeight="1" x14ac:dyDescent="0.35">
      <c r="A37" s="50"/>
      <c r="B37" s="87" t="s">
        <v>178</v>
      </c>
      <c r="C37" s="88"/>
      <c r="D37" s="43" t="s">
        <v>89</v>
      </c>
      <c r="E37" s="43" t="s">
        <v>90</v>
      </c>
      <c r="F37" s="43" t="s">
        <v>91</v>
      </c>
      <c r="G37" s="563" t="s">
        <v>106</v>
      </c>
      <c r="H37" s="546"/>
      <c r="I37" s="546"/>
      <c r="J37" s="546"/>
      <c r="K37" s="546"/>
      <c r="L37" s="558"/>
      <c r="M37" s="50"/>
      <c r="N37" s="50"/>
      <c r="O37" s="50"/>
      <c r="P37" s="50"/>
      <c r="Q37" s="50"/>
      <c r="R37" s="50"/>
      <c r="S37" s="50"/>
      <c r="T37" s="50"/>
      <c r="U37" s="50"/>
      <c r="V37" s="50"/>
      <c r="W37" s="50"/>
      <c r="X37" s="50"/>
      <c r="Y37" s="50"/>
      <c r="Z37" s="50"/>
    </row>
    <row r="38" spans="1:26" ht="15.75" customHeight="1" x14ac:dyDescent="0.35">
      <c r="A38" s="50"/>
      <c r="B38" s="89" t="s">
        <v>165</v>
      </c>
      <c r="C38" s="88"/>
      <c r="D38" s="95">
        <v>100</v>
      </c>
      <c r="E38" s="95">
        <v>100</v>
      </c>
      <c r="F38" s="95">
        <v>100</v>
      </c>
      <c r="G38" s="91"/>
      <c r="H38" s="91"/>
      <c r="I38" s="91"/>
      <c r="J38" s="91"/>
      <c r="K38" s="91"/>
      <c r="L38" s="92"/>
      <c r="M38" s="50"/>
      <c r="N38" s="50"/>
      <c r="O38" s="50"/>
      <c r="P38" s="50"/>
      <c r="Q38" s="50"/>
      <c r="R38" s="50"/>
      <c r="S38" s="50"/>
      <c r="T38" s="50"/>
      <c r="U38" s="50"/>
      <c r="V38" s="50"/>
      <c r="W38" s="50"/>
      <c r="X38" s="50"/>
      <c r="Y38" s="50"/>
      <c r="Z38" s="50"/>
    </row>
    <row r="39" spans="1:26" ht="15.75" customHeight="1" x14ac:dyDescent="0.35">
      <c r="A39" s="50"/>
      <c r="B39" s="89" t="s">
        <v>166</v>
      </c>
      <c r="C39" s="88"/>
      <c r="D39" s="95">
        <v>100</v>
      </c>
      <c r="E39" s="95">
        <v>100</v>
      </c>
      <c r="F39" s="95">
        <v>100</v>
      </c>
      <c r="G39" s="91"/>
      <c r="H39" s="91"/>
      <c r="I39" s="91"/>
      <c r="J39" s="91"/>
      <c r="K39" s="91"/>
      <c r="L39" s="92"/>
      <c r="M39" s="50"/>
      <c r="N39" s="50"/>
      <c r="O39" s="50"/>
      <c r="P39" s="50"/>
      <c r="Q39" s="50"/>
      <c r="R39" s="50"/>
      <c r="S39" s="50"/>
      <c r="T39" s="50"/>
      <c r="U39" s="50"/>
      <c r="V39" s="50"/>
      <c r="W39" s="50"/>
      <c r="X39" s="50"/>
      <c r="Y39" s="50"/>
      <c r="Z39" s="50"/>
    </row>
    <row r="40" spans="1:26" ht="15.75" customHeight="1" x14ac:dyDescent="0.35">
      <c r="A40" s="50"/>
      <c r="B40" s="89" t="s">
        <v>167</v>
      </c>
      <c r="C40" s="88"/>
      <c r="D40" s="95">
        <v>100</v>
      </c>
      <c r="E40" s="95">
        <v>100</v>
      </c>
      <c r="F40" s="95">
        <v>100</v>
      </c>
      <c r="G40" s="91"/>
      <c r="H40" s="91"/>
      <c r="I40" s="91"/>
      <c r="J40" s="91"/>
      <c r="K40" s="91"/>
      <c r="L40" s="92"/>
      <c r="M40" s="50"/>
      <c r="N40" s="50"/>
      <c r="O40" s="50"/>
      <c r="P40" s="50"/>
      <c r="Q40" s="50"/>
      <c r="R40" s="50"/>
      <c r="S40" s="50"/>
      <c r="T40" s="50"/>
      <c r="U40" s="50"/>
      <c r="V40" s="50"/>
      <c r="W40" s="50"/>
      <c r="X40" s="50"/>
      <c r="Y40" s="50"/>
      <c r="Z40" s="50"/>
    </row>
    <row r="41" spans="1:26" ht="15.75" customHeight="1" x14ac:dyDescent="0.35">
      <c r="A41" s="50"/>
      <c r="B41" s="89" t="s">
        <v>169</v>
      </c>
      <c r="C41" s="88"/>
      <c r="D41" s="95">
        <v>100</v>
      </c>
      <c r="E41" s="95">
        <v>100</v>
      </c>
      <c r="F41" s="95">
        <v>100</v>
      </c>
      <c r="G41" s="91"/>
      <c r="H41" s="91"/>
      <c r="I41" s="91"/>
      <c r="J41" s="91"/>
      <c r="K41" s="91"/>
      <c r="L41" s="92"/>
      <c r="M41" s="50"/>
      <c r="N41" s="50"/>
      <c r="O41" s="50"/>
      <c r="P41" s="50"/>
      <c r="Q41" s="50"/>
      <c r="R41" s="50"/>
      <c r="S41" s="50"/>
      <c r="T41" s="50"/>
      <c r="U41" s="50"/>
      <c r="V41" s="50"/>
      <c r="W41" s="50"/>
      <c r="X41" s="50"/>
      <c r="Y41" s="50"/>
      <c r="Z41" s="50"/>
    </row>
    <row r="42" spans="1:26" ht="15.75" customHeight="1" x14ac:dyDescent="0.35">
      <c r="A42" s="50"/>
      <c r="B42" s="89" t="s">
        <v>170</v>
      </c>
      <c r="C42" s="88"/>
      <c r="D42" s="95">
        <v>100</v>
      </c>
      <c r="E42" s="95">
        <v>100</v>
      </c>
      <c r="F42" s="95">
        <v>100</v>
      </c>
      <c r="G42" s="91"/>
      <c r="H42" s="91"/>
      <c r="I42" s="91"/>
      <c r="J42" s="91"/>
      <c r="K42" s="91"/>
      <c r="L42" s="92"/>
      <c r="M42" s="50"/>
      <c r="N42" s="50"/>
      <c r="O42" s="50"/>
      <c r="P42" s="50"/>
      <c r="Q42" s="50"/>
      <c r="R42" s="50"/>
      <c r="S42" s="50"/>
      <c r="T42" s="50"/>
      <c r="U42" s="50"/>
      <c r="V42" s="50"/>
      <c r="W42" s="50"/>
      <c r="X42" s="50"/>
      <c r="Y42" s="50"/>
      <c r="Z42" s="50"/>
    </row>
    <row r="43" spans="1:26" ht="15.75" customHeight="1" x14ac:dyDescent="0.35">
      <c r="A43" s="50"/>
      <c r="B43" s="89" t="s">
        <v>171</v>
      </c>
      <c r="C43" s="88"/>
      <c r="D43" s="95">
        <v>100</v>
      </c>
      <c r="E43" s="95">
        <v>100</v>
      </c>
      <c r="F43" s="95">
        <v>100</v>
      </c>
      <c r="G43" s="91"/>
      <c r="H43" s="91"/>
      <c r="I43" s="91"/>
      <c r="J43" s="91"/>
      <c r="K43" s="91"/>
      <c r="L43" s="92"/>
      <c r="M43" s="50"/>
      <c r="N43" s="50"/>
      <c r="O43" s="50"/>
      <c r="P43" s="50"/>
      <c r="Q43" s="50"/>
      <c r="R43" s="50"/>
      <c r="S43" s="50"/>
      <c r="T43" s="50"/>
      <c r="U43" s="50"/>
      <c r="V43" s="50"/>
      <c r="W43" s="50"/>
      <c r="X43" s="50"/>
      <c r="Y43" s="50"/>
      <c r="Z43" s="50"/>
    </row>
    <row r="44" spans="1:26" ht="15.75" customHeight="1" x14ac:dyDescent="0.35">
      <c r="A44" s="50"/>
      <c r="B44" s="89" t="s">
        <v>172</v>
      </c>
      <c r="C44" s="88"/>
      <c r="D44" s="95">
        <v>100</v>
      </c>
      <c r="E44" s="95">
        <v>100</v>
      </c>
      <c r="F44" s="95">
        <v>100</v>
      </c>
      <c r="G44" s="91"/>
      <c r="H44" s="91"/>
      <c r="I44" s="91"/>
      <c r="J44" s="91"/>
      <c r="K44" s="91"/>
      <c r="L44" s="92"/>
      <c r="M44" s="50"/>
      <c r="N44" s="50"/>
      <c r="O44" s="50"/>
      <c r="P44" s="50"/>
      <c r="Q44" s="50"/>
      <c r="R44" s="50"/>
      <c r="S44" s="50"/>
      <c r="T44" s="50"/>
      <c r="U44" s="50"/>
      <c r="V44" s="50"/>
      <c r="W44" s="50"/>
      <c r="X44" s="50"/>
      <c r="Y44" s="50"/>
      <c r="Z44" s="50"/>
    </row>
    <row r="45" spans="1:26" ht="15.75" customHeight="1" x14ac:dyDescent="0.35">
      <c r="A45" s="50"/>
      <c r="B45" s="89" t="s">
        <v>173</v>
      </c>
      <c r="C45" s="88"/>
      <c r="D45" s="95">
        <v>100</v>
      </c>
      <c r="E45" s="95">
        <v>100</v>
      </c>
      <c r="F45" s="95">
        <v>100</v>
      </c>
      <c r="G45" s="91"/>
      <c r="H45" s="91"/>
      <c r="I45" s="91"/>
      <c r="J45" s="91"/>
      <c r="K45" s="91"/>
      <c r="L45" s="92"/>
      <c r="M45" s="50"/>
      <c r="N45" s="50"/>
      <c r="O45" s="50"/>
      <c r="P45" s="50"/>
      <c r="Q45" s="50"/>
      <c r="R45" s="50"/>
      <c r="S45" s="50"/>
      <c r="T45" s="50"/>
      <c r="U45" s="50"/>
      <c r="V45" s="50"/>
      <c r="W45" s="50"/>
      <c r="X45" s="50"/>
      <c r="Y45" s="50"/>
      <c r="Z45" s="50"/>
    </row>
    <row r="46" spans="1:26" ht="15.75" customHeight="1" x14ac:dyDescent="0.35">
      <c r="A46" s="50"/>
      <c r="B46" s="89" t="s">
        <v>174</v>
      </c>
      <c r="C46" s="88"/>
      <c r="D46" s="95">
        <v>100</v>
      </c>
      <c r="E46" s="95">
        <v>100</v>
      </c>
      <c r="F46" s="95">
        <v>100</v>
      </c>
      <c r="G46" s="91"/>
      <c r="H46" s="91"/>
      <c r="I46" s="91"/>
      <c r="J46" s="91"/>
      <c r="K46" s="91"/>
      <c r="L46" s="92"/>
      <c r="M46" s="50"/>
      <c r="N46" s="50"/>
      <c r="O46" s="50"/>
      <c r="P46" s="50"/>
      <c r="Q46" s="50"/>
      <c r="R46" s="50"/>
      <c r="S46" s="50"/>
      <c r="T46" s="50"/>
      <c r="U46" s="50"/>
      <c r="V46" s="50"/>
      <c r="W46" s="50"/>
      <c r="X46" s="50"/>
      <c r="Y46" s="50"/>
      <c r="Z46" s="50"/>
    </row>
    <row r="47" spans="1:26" ht="15.75" customHeight="1" x14ac:dyDescent="0.35">
      <c r="A47" s="50"/>
      <c r="B47" s="89" t="s">
        <v>175</v>
      </c>
      <c r="C47" s="88"/>
      <c r="D47" s="95">
        <v>100</v>
      </c>
      <c r="E47" s="95">
        <v>100</v>
      </c>
      <c r="F47" s="95">
        <v>100</v>
      </c>
      <c r="G47" s="91"/>
      <c r="H47" s="91"/>
      <c r="I47" s="91"/>
      <c r="J47" s="91"/>
      <c r="K47" s="91"/>
      <c r="L47" s="92"/>
      <c r="M47" s="50"/>
      <c r="N47" s="50"/>
      <c r="O47" s="50"/>
      <c r="P47" s="50"/>
      <c r="Q47" s="50"/>
      <c r="R47" s="50"/>
      <c r="S47" s="50"/>
      <c r="T47" s="50"/>
      <c r="U47" s="50"/>
      <c r="V47" s="50"/>
      <c r="W47" s="50"/>
      <c r="X47" s="50"/>
      <c r="Y47" s="50"/>
      <c r="Z47" s="50"/>
    </row>
    <row r="48" spans="1:26" ht="15.75" customHeight="1" x14ac:dyDescent="0.35">
      <c r="A48" s="50"/>
      <c r="B48" s="89" t="s">
        <v>176</v>
      </c>
      <c r="C48" s="88"/>
      <c r="D48" s="95">
        <v>100</v>
      </c>
      <c r="E48" s="95">
        <v>100</v>
      </c>
      <c r="F48" s="95">
        <v>100</v>
      </c>
      <c r="G48" s="91"/>
      <c r="H48" s="91"/>
      <c r="I48" s="91"/>
      <c r="J48" s="91"/>
      <c r="K48" s="91"/>
      <c r="L48" s="92"/>
      <c r="M48" s="50"/>
      <c r="N48" s="50"/>
      <c r="O48" s="50"/>
      <c r="P48" s="50"/>
      <c r="Q48" s="50"/>
      <c r="R48" s="50"/>
      <c r="S48" s="50"/>
      <c r="T48" s="50"/>
      <c r="U48" s="50"/>
      <c r="V48" s="50"/>
      <c r="W48" s="50"/>
      <c r="X48" s="50"/>
      <c r="Y48" s="50"/>
      <c r="Z48" s="50"/>
    </row>
    <row r="49" spans="1:26" ht="31.5" customHeight="1" x14ac:dyDescent="0.35">
      <c r="A49" s="50"/>
      <c r="B49" s="87" t="s">
        <v>179</v>
      </c>
      <c r="C49" s="88"/>
      <c r="D49" s="43" t="s">
        <v>89</v>
      </c>
      <c r="E49" s="43" t="s">
        <v>90</v>
      </c>
      <c r="F49" s="43" t="s">
        <v>91</v>
      </c>
      <c r="G49" s="563" t="s">
        <v>106</v>
      </c>
      <c r="H49" s="546"/>
      <c r="I49" s="546"/>
      <c r="J49" s="546"/>
      <c r="K49" s="546"/>
      <c r="L49" s="558"/>
      <c r="M49" s="50"/>
      <c r="N49" s="50"/>
      <c r="O49" s="50"/>
      <c r="P49" s="50"/>
      <c r="Q49" s="50"/>
      <c r="R49" s="50"/>
      <c r="S49" s="50"/>
      <c r="T49" s="50"/>
      <c r="U49" s="50"/>
      <c r="V49" s="50"/>
      <c r="W49" s="50"/>
      <c r="X49" s="50"/>
      <c r="Y49" s="50"/>
      <c r="Z49" s="50"/>
    </row>
    <row r="50" spans="1:26" ht="15.75" customHeight="1" x14ac:dyDescent="0.35">
      <c r="A50" s="50"/>
      <c r="B50" s="89" t="s">
        <v>165</v>
      </c>
      <c r="C50" s="88"/>
      <c r="D50" s="95">
        <v>50</v>
      </c>
      <c r="E50" s="95">
        <v>50</v>
      </c>
      <c r="F50" s="95">
        <v>50</v>
      </c>
      <c r="G50" s="91"/>
      <c r="H50" s="91"/>
      <c r="I50" s="91"/>
      <c r="J50" s="91"/>
      <c r="K50" s="91"/>
      <c r="L50" s="92"/>
      <c r="M50" s="50"/>
      <c r="N50" s="50"/>
      <c r="O50" s="50"/>
      <c r="P50" s="50"/>
      <c r="Q50" s="50"/>
      <c r="R50" s="50"/>
      <c r="S50" s="50"/>
      <c r="T50" s="50"/>
      <c r="U50" s="50"/>
      <c r="V50" s="50"/>
      <c r="W50" s="50"/>
      <c r="X50" s="50"/>
      <c r="Y50" s="50"/>
      <c r="Z50" s="50"/>
    </row>
    <row r="51" spans="1:26" ht="15.75" customHeight="1" x14ac:dyDescent="0.35">
      <c r="A51" s="50"/>
      <c r="B51" s="89" t="s">
        <v>166</v>
      </c>
      <c r="C51" s="88"/>
      <c r="D51" s="95">
        <v>50</v>
      </c>
      <c r="E51" s="95">
        <v>50</v>
      </c>
      <c r="F51" s="95">
        <v>50</v>
      </c>
      <c r="G51" s="91"/>
      <c r="H51" s="91"/>
      <c r="I51" s="91"/>
      <c r="J51" s="91"/>
      <c r="K51" s="91"/>
      <c r="L51" s="92"/>
      <c r="M51" s="50"/>
      <c r="N51" s="50"/>
      <c r="O51" s="50"/>
      <c r="P51" s="50"/>
      <c r="Q51" s="50"/>
      <c r="R51" s="50"/>
      <c r="S51" s="50"/>
      <c r="T51" s="50"/>
      <c r="U51" s="50"/>
      <c r="V51" s="50"/>
      <c r="W51" s="50"/>
      <c r="X51" s="50"/>
      <c r="Y51" s="50"/>
      <c r="Z51" s="50"/>
    </row>
    <row r="52" spans="1:26" ht="15.75" customHeight="1" x14ac:dyDescent="0.35">
      <c r="A52" s="50"/>
      <c r="B52" s="89" t="s">
        <v>167</v>
      </c>
      <c r="C52" s="88"/>
      <c r="D52" s="95">
        <v>50</v>
      </c>
      <c r="E52" s="95">
        <v>50</v>
      </c>
      <c r="F52" s="95">
        <v>50</v>
      </c>
      <c r="G52" s="91"/>
      <c r="H52" s="91"/>
      <c r="I52" s="91"/>
      <c r="J52" s="91"/>
      <c r="K52" s="91"/>
      <c r="L52" s="92"/>
      <c r="M52" s="50"/>
      <c r="N52" s="50"/>
      <c r="O52" s="50"/>
      <c r="P52" s="50"/>
      <c r="Q52" s="50"/>
      <c r="R52" s="50"/>
      <c r="S52" s="50"/>
      <c r="T52" s="50"/>
      <c r="U52" s="50"/>
      <c r="V52" s="50"/>
      <c r="W52" s="50"/>
      <c r="X52" s="50"/>
      <c r="Y52" s="50"/>
      <c r="Z52" s="50"/>
    </row>
    <row r="53" spans="1:26" ht="15.75" customHeight="1" x14ac:dyDescent="0.35">
      <c r="A53" s="50"/>
      <c r="B53" s="89" t="s">
        <v>169</v>
      </c>
      <c r="C53" s="88"/>
      <c r="D53" s="95">
        <v>50</v>
      </c>
      <c r="E53" s="95">
        <v>50</v>
      </c>
      <c r="F53" s="95">
        <v>50</v>
      </c>
      <c r="G53" s="91"/>
      <c r="H53" s="91"/>
      <c r="I53" s="91"/>
      <c r="J53" s="91"/>
      <c r="K53" s="91"/>
      <c r="L53" s="92"/>
      <c r="M53" s="50"/>
      <c r="N53" s="50"/>
      <c r="O53" s="50"/>
      <c r="P53" s="50"/>
      <c r="Q53" s="50"/>
      <c r="R53" s="50"/>
      <c r="S53" s="50"/>
      <c r="T53" s="50"/>
      <c r="U53" s="50"/>
      <c r="V53" s="50"/>
      <c r="W53" s="50"/>
      <c r="X53" s="50"/>
      <c r="Y53" s="50"/>
      <c r="Z53" s="50"/>
    </row>
    <row r="54" spans="1:26" ht="15.75" customHeight="1" x14ac:dyDescent="0.35">
      <c r="A54" s="50"/>
      <c r="B54" s="89" t="s">
        <v>170</v>
      </c>
      <c r="C54" s="88"/>
      <c r="D54" s="95">
        <v>50</v>
      </c>
      <c r="E54" s="95">
        <v>50</v>
      </c>
      <c r="F54" s="95">
        <v>50</v>
      </c>
      <c r="G54" s="91"/>
      <c r="H54" s="91"/>
      <c r="I54" s="91"/>
      <c r="J54" s="91"/>
      <c r="K54" s="91"/>
      <c r="L54" s="92"/>
      <c r="M54" s="50"/>
      <c r="N54" s="50"/>
      <c r="O54" s="50"/>
      <c r="P54" s="50"/>
      <c r="Q54" s="50"/>
      <c r="R54" s="50"/>
      <c r="S54" s="50"/>
      <c r="T54" s="50"/>
      <c r="U54" s="50"/>
      <c r="V54" s="50"/>
      <c r="W54" s="50"/>
      <c r="X54" s="50"/>
      <c r="Y54" s="50"/>
      <c r="Z54" s="50"/>
    </row>
    <row r="55" spans="1:26" ht="15.75" customHeight="1" x14ac:dyDescent="0.35">
      <c r="A55" s="50"/>
      <c r="B55" s="89" t="s">
        <v>171</v>
      </c>
      <c r="C55" s="88"/>
      <c r="D55" s="95">
        <v>50</v>
      </c>
      <c r="E55" s="95">
        <v>50</v>
      </c>
      <c r="F55" s="95">
        <v>50</v>
      </c>
      <c r="G55" s="91"/>
      <c r="H55" s="91"/>
      <c r="I55" s="91"/>
      <c r="J55" s="91"/>
      <c r="K55" s="91"/>
      <c r="L55" s="92"/>
      <c r="M55" s="50"/>
      <c r="N55" s="50"/>
      <c r="O55" s="50"/>
      <c r="P55" s="50"/>
      <c r="Q55" s="50"/>
      <c r="R55" s="50"/>
      <c r="S55" s="50"/>
      <c r="T55" s="50"/>
      <c r="U55" s="50"/>
      <c r="V55" s="50"/>
      <c r="W55" s="50"/>
      <c r="X55" s="50"/>
      <c r="Y55" s="50"/>
      <c r="Z55" s="50"/>
    </row>
    <row r="56" spans="1:26" ht="15.75" customHeight="1" x14ac:dyDescent="0.35">
      <c r="A56" s="50"/>
      <c r="B56" s="89" t="s">
        <v>172</v>
      </c>
      <c r="C56" s="88"/>
      <c r="D56" s="95">
        <v>50</v>
      </c>
      <c r="E56" s="95">
        <v>50</v>
      </c>
      <c r="F56" s="95">
        <v>50</v>
      </c>
      <c r="G56" s="91"/>
      <c r="H56" s="91"/>
      <c r="I56" s="91"/>
      <c r="J56" s="91"/>
      <c r="K56" s="91"/>
      <c r="L56" s="92"/>
      <c r="M56" s="50"/>
      <c r="N56" s="50"/>
      <c r="O56" s="50"/>
      <c r="P56" s="50"/>
      <c r="Q56" s="50"/>
      <c r="R56" s="50"/>
      <c r="S56" s="50"/>
      <c r="T56" s="50"/>
      <c r="U56" s="50"/>
      <c r="V56" s="50"/>
      <c r="W56" s="50"/>
      <c r="X56" s="50"/>
      <c r="Y56" s="50"/>
      <c r="Z56" s="50"/>
    </row>
    <row r="57" spans="1:26" ht="15.75" customHeight="1" x14ac:dyDescent="0.35">
      <c r="A57" s="50"/>
      <c r="B57" s="89" t="s">
        <v>173</v>
      </c>
      <c r="C57" s="88"/>
      <c r="D57" s="95">
        <v>50</v>
      </c>
      <c r="E57" s="95">
        <v>50</v>
      </c>
      <c r="F57" s="95">
        <v>50</v>
      </c>
      <c r="G57" s="91"/>
      <c r="H57" s="91"/>
      <c r="I57" s="91"/>
      <c r="J57" s="91"/>
      <c r="K57" s="91"/>
      <c r="L57" s="92"/>
      <c r="M57" s="50"/>
      <c r="N57" s="50"/>
      <c r="O57" s="50"/>
      <c r="P57" s="50"/>
      <c r="Q57" s="50"/>
      <c r="R57" s="50"/>
      <c r="S57" s="50"/>
      <c r="T57" s="50"/>
      <c r="U57" s="50"/>
      <c r="V57" s="50"/>
      <c r="W57" s="50"/>
      <c r="X57" s="50"/>
      <c r="Y57" s="50"/>
      <c r="Z57" s="50"/>
    </row>
    <row r="58" spans="1:26" ht="15.75" customHeight="1" x14ac:dyDescent="0.35">
      <c r="A58" s="50"/>
      <c r="B58" s="89" t="s">
        <v>174</v>
      </c>
      <c r="C58" s="88"/>
      <c r="D58" s="95">
        <v>50</v>
      </c>
      <c r="E58" s="95">
        <v>50</v>
      </c>
      <c r="F58" s="95">
        <v>50</v>
      </c>
      <c r="G58" s="91"/>
      <c r="H58" s="91"/>
      <c r="I58" s="91"/>
      <c r="J58" s="91"/>
      <c r="K58" s="91"/>
      <c r="L58" s="92"/>
      <c r="M58" s="50"/>
      <c r="N58" s="50"/>
      <c r="O58" s="50"/>
      <c r="P58" s="50"/>
      <c r="Q58" s="50"/>
      <c r="R58" s="50"/>
      <c r="S58" s="50"/>
      <c r="T58" s="50"/>
      <c r="U58" s="50"/>
      <c r="V58" s="50"/>
      <c r="W58" s="50"/>
      <c r="X58" s="50"/>
      <c r="Y58" s="50"/>
      <c r="Z58" s="50"/>
    </row>
    <row r="59" spans="1:26" ht="15.75" customHeight="1" x14ac:dyDescent="0.35">
      <c r="A59" s="50"/>
      <c r="B59" s="89" t="s">
        <v>175</v>
      </c>
      <c r="C59" s="88"/>
      <c r="D59" s="95">
        <v>50</v>
      </c>
      <c r="E59" s="95">
        <v>50</v>
      </c>
      <c r="F59" s="95">
        <v>50</v>
      </c>
      <c r="G59" s="91"/>
      <c r="H59" s="91"/>
      <c r="I59" s="91"/>
      <c r="J59" s="91"/>
      <c r="K59" s="91"/>
      <c r="L59" s="92"/>
      <c r="M59" s="50"/>
      <c r="N59" s="50"/>
      <c r="O59" s="50"/>
      <c r="P59" s="50"/>
      <c r="Q59" s="50"/>
      <c r="R59" s="50"/>
      <c r="S59" s="50"/>
      <c r="T59" s="50"/>
      <c r="U59" s="50"/>
      <c r="V59" s="50"/>
      <c r="W59" s="50"/>
      <c r="X59" s="50"/>
      <c r="Y59" s="50"/>
      <c r="Z59" s="50"/>
    </row>
    <row r="60" spans="1:26" ht="15.75" customHeight="1" x14ac:dyDescent="0.35">
      <c r="A60" s="50"/>
      <c r="B60" s="89" t="s">
        <v>176</v>
      </c>
      <c r="C60" s="88"/>
      <c r="D60" s="95">
        <v>50</v>
      </c>
      <c r="E60" s="95">
        <v>50</v>
      </c>
      <c r="F60" s="95">
        <v>50</v>
      </c>
      <c r="G60" s="91"/>
      <c r="H60" s="91"/>
      <c r="I60" s="91"/>
      <c r="J60" s="91"/>
      <c r="K60" s="91"/>
      <c r="L60" s="92"/>
      <c r="M60" s="50"/>
      <c r="N60" s="50"/>
      <c r="O60" s="50"/>
      <c r="P60" s="50"/>
      <c r="Q60" s="50"/>
      <c r="R60" s="50"/>
      <c r="S60" s="50"/>
      <c r="T60" s="50"/>
      <c r="U60" s="50"/>
      <c r="V60" s="50"/>
      <c r="W60" s="50"/>
      <c r="X60" s="50"/>
      <c r="Y60" s="50"/>
      <c r="Z60" s="50"/>
    </row>
    <row r="61" spans="1:26" ht="15.75" customHeight="1" x14ac:dyDescent="0.35">
      <c r="A61" s="50"/>
      <c r="B61" s="96" t="s">
        <v>108</v>
      </c>
      <c r="C61" s="88" t="s">
        <v>109</v>
      </c>
      <c r="D61" s="97">
        <v>0.01</v>
      </c>
      <c r="E61" s="91"/>
      <c r="F61" s="91"/>
      <c r="G61" s="91" t="s">
        <v>110</v>
      </c>
      <c r="H61" s="91"/>
      <c r="I61" s="91"/>
      <c r="J61" s="91"/>
      <c r="K61" s="91"/>
      <c r="L61" s="92"/>
      <c r="M61" s="50"/>
      <c r="N61" s="50"/>
      <c r="O61" s="50"/>
      <c r="P61" s="50"/>
      <c r="Q61" s="50"/>
      <c r="R61" s="50"/>
      <c r="S61" s="50"/>
      <c r="T61" s="50"/>
      <c r="U61" s="50"/>
      <c r="V61" s="50"/>
      <c r="W61" s="50"/>
      <c r="X61" s="50"/>
      <c r="Y61" s="50"/>
      <c r="Z61" s="50"/>
    </row>
    <row r="62" spans="1:26" ht="15.75" customHeight="1" x14ac:dyDescent="0.35">
      <c r="A62" s="50"/>
      <c r="B62" s="96" t="s">
        <v>111</v>
      </c>
      <c r="C62" s="88" t="s">
        <v>109</v>
      </c>
      <c r="D62" s="97">
        <v>0.01</v>
      </c>
      <c r="E62" s="91"/>
      <c r="F62" s="91"/>
      <c r="G62" s="91" t="s">
        <v>112</v>
      </c>
      <c r="H62" s="91"/>
      <c r="I62" s="91"/>
      <c r="J62" s="91"/>
      <c r="K62" s="91"/>
      <c r="L62" s="92"/>
      <c r="M62" s="50"/>
      <c r="N62" s="50"/>
      <c r="O62" s="50"/>
      <c r="P62" s="50"/>
      <c r="Q62" s="50"/>
      <c r="R62" s="50"/>
      <c r="S62" s="50"/>
      <c r="T62" s="50"/>
      <c r="U62" s="50"/>
      <c r="V62" s="50"/>
      <c r="W62" s="50"/>
      <c r="X62" s="50"/>
      <c r="Y62" s="50"/>
      <c r="Z62" s="50"/>
    </row>
    <row r="63" spans="1:26" ht="15.75" customHeight="1" x14ac:dyDescent="0.35">
      <c r="A63" s="50"/>
      <c r="B63" s="96" t="s">
        <v>113</v>
      </c>
      <c r="C63" s="88" t="s">
        <v>109</v>
      </c>
      <c r="D63" s="98" t="s">
        <v>114</v>
      </c>
      <c r="E63" s="91"/>
      <c r="F63" s="91"/>
      <c r="G63" s="91" t="s">
        <v>115</v>
      </c>
      <c r="H63" s="91"/>
      <c r="I63" s="91"/>
      <c r="J63" s="91"/>
      <c r="K63" s="91"/>
      <c r="L63" s="164"/>
      <c r="M63" s="50"/>
      <c r="N63" s="50"/>
      <c r="O63" s="50"/>
      <c r="P63" s="50"/>
      <c r="Q63" s="50"/>
      <c r="R63" s="50"/>
      <c r="S63" s="50"/>
      <c r="T63" s="50"/>
      <c r="U63" s="50"/>
      <c r="V63" s="50"/>
      <c r="W63" s="50"/>
      <c r="X63" s="50"/>
      <c r="Y63" s="50"/>
      <c r="Z63" s="50"/>
    </row>
    <row r="64" spans="1:26" ht="15.75" customHeight="1" x14ac:dyDescent="0.35">
      <c r="A64" s="50"/>
      <c r="B64" s="96" t="s">
        <v>116</v>
      </c>
      <c r="C64" s="88" t="s">
        <v>109</v>
      </c>
      <c r="D64" s="156">
        <f>VLOOKUP(D63,B65:D67,3,FALSE)</f>
        <v>0.05</v>
      </c>
      <c r="E64" s="91"/>
      <c r="F64" s="91"/>
      <c r="G64" s="91" t="s">
        <v>117</v>
      </c>
      <c r="H64" s="91"/>
      <c r="I64" s="91"/>
      <c r="J64" s="91"/>
      <c r="K64" s="91"/>
      <c r="L64" s="92"/>
      <c r="M64" s="50"/>
      <c r="N64" s="50"/>
      <c r="O64" s="50"/>
      <c r="P64" s="50"/>
      <c r="Q64" s="50"/>
      <c r="R64" s="50"/>
      <c r="S64" s="50"/>
      <c r="T64" s="50"/>
      <c r="U64" s="50"/>
      <c r="V64" s="50"/>
      <c r="W64" s="50"/>
      <c r="X64" s="50"/>
      <c r="Y64" s="50"/>
      <c r="Z64" s="50"/>
    </row>
    <row r="65" spans="1:26" ht="15.75" customHeight="1" x14ac:dyDescent="0.35">
      <c r="A65" s="50"/>
      <c r="B65" s="101" t="s">
        <v>114</v>
      </c>
      <c r="C65" s="102" t="s">
        <v>109</v>
      </c>
      <c r="D65" s="103">
        <v>0.05</v>
      </c>
      <c r="E65" s="91"/>
      <c r="F65" s="91"/>
      <c r="G65" s="91" t="s">
        <v>118</v>
      </c>
      <c r="H65" s="91"/>
      <c r="I65" s="91"/>
      <c r="J65" s="91"/>
      <c r="K65" s="91"/>
      <c r="L65" s="92"/>
      <c r="M65" s="50"/>
      <c r="N65" s="50"/>
      <c r="O65" s="50"/>
      <c r="P65" s="50"/>
      <c r="Q65" s="50"/>
      <c r="R65" s="50"/>
      <c r="S65" s="50"/>
      <c r="T65" s="50"/>
      <c r="U65" s="50"/>
      <c r="V65" s="50"/>
      <c r="W65" s="50"/>
      <c r="X65" s="50"/>
      <c r="Y65" s="50"/>
      <c r="Z65" s="50"/>
    </row>
    <row r="66" spans="1:26" ht="15.75" customHeight="1" x14ac:dyDescent="0.35">
      <c r="A66" s="50"/>
      <c r="B66" s="101" t="s">
        <v>119</v>
      </c>
      <c r="C66" s="102" t="s">
        <v>109</v>
      </c>
      <c r="D66" s="103">
        <v>0.03</v>
      </c>
      <c r="E66" s="91"/>
      <c r="F66" s="91"/>
      <c r="G66" s="91" t="s">
        <v>120</v>
      </c>
      <c r="H66" s="91"/>
      <c r="I66" s="91"/>
      <c r="J66" s="91"/>
      <c r="K66" s="91"/>
      <c r="L66" s="92"/>
      <c r="M66" s="50"/>
      <c r="N66" s="50"/>
      <c r="O66" s="50"/>
      <c r="P66" s="50"/>
      <c r="Q66" s="50"/>
      <c r="R66" s="50"/>
      <c r="S66" s="50"/>
      <c r="T66" s="50"/>
      <c r="U66" s="50"/>
      <c r="V66" s="50"/>
      <c r="W66" s="50"/>
      <c r="X66" s="50"/>
      <c r="Y66" s="50"/>
      <c r="Z66" s="50"/>
    </row>
    <row r="67" spans="1:26" ht="15.75" customHeight="1" x14ac:dyDescent="0.35">
      <c r="A67" s="50"/>
      <c r="B67" s="101" t="s">
        <v>121</v>
      </c>
      <c r="C67" s="102" t="s">
        <v>109</v>
      </c>
      <c r="D67" s="103">
        <v>0.01</v>
      </c>
      <c r="E67" s="91"/>
      <c r="F67" s="91"/>
      <c r="G67" s="91" t="s">
        <v>122</v>
      </c>
      <c r="H67" s="91"/>
      <c r="I67" s="91"/>
      <c r="J67" s="91"/>
      <c r="K67" s="91"/>
      <c r="L67" s="92"/>
      <c r="M67" s="50"/>
      <c r="N67" s="50"/>
      <c r="O67" s="50"/>
      <c r="P67" s="50"/>
      <c r="Q67" s="50"/>
      <c r="R67" s="50"/>
      <c r="S67" s="50"/>
      <c r="T67" s="50"/>
      <c r="U67" s="50"/>
      <c r="V67" s="50"/>
      <c r="W67" s="50"/>
      <c r="X67" s="50"/>
      <c r="Y67" s="50"/>
      <c r="Z67" s="50"/>
    </row>
    <row r="68" spans="1:26" ht="15.75" customHeight="1" x14ac:dyDescent="0.35">
      <c r="A68" s="50"/>
      <c r="B68" s="104" t="s">
        <v>123</v>
      </c>
      <c r="C68" s="88"/>
      <c r="D68" s="97">
        <v>0.01</v>
      </c>
      <c r="E68" s="91"/>
      <c r="F68" s="91"/>
      <c r="G68" s="91" t="s">
        <v>124</v>
      </c>
      <c r="H68" s="91"/>
      <c r="I68" s="91"/>
      <c r="J68" s="91"/>
      <c r="K68" s="91"/>
      <c r="L68" s="92"/>
      <c r="M68" s="50"/>
      <c r="N68" s="50"/>
      <c r="O68" s="50"/>
      <c r="P68" s="50"/>
      <c r="Q68" s="50"/>
      <c r="R68" s="50"/>
      <c r="S68" s="50"/>
      <c r="T68" s="50"/>
      <c r="U68" s="50"/>
      <c r="V68" s="50"/>
      <c r="W68" s="50"/>
      <c r="X68" s="50"/>
      <c r="Y68" s="50"/>
      <c r="Z68" s="50"/>
    </row>
    <row r="69" spans="1:26" ht="15.75" customHeight="1" x14ac:dyDescent="0.35">
      <c r="A69" s="50"/>
      <c r="B69" s="96" t="s">
        <v>125</v>
      </c>
      <c r="C69" s="88"/>
      <c r="D69" s="97">
        <v>0.01</v>
      </c>
      <c r="E69" s="91"/>
      <c r="F69" s="91"/>
      <c r="G69" s="91" t="s">
        <v>126</v>
      </c>
      <c r="H69" s="91"/>
      <c r="I69" s="91"/>
      <c r="J69" s="91"/>
      <c r="K69" s="91"/>
      <c r="L69" s="92"/>
      <c r="M69" s="50"/>
      <c r="N69" s="50"/>
      <c r="O69" s="50"/>
      <c r="P69" s="50"/>
      <c r="Q69" s="50"/>
      <c r="R69" s="50"/>
      <c r="S69" s="50"/>
      <c r="T69" s="50"/>
      <c r="U69" s="50"/>
      <c r="V69" s="50"/>
      <c r="W69" s="50"/>
      <c r="X69" s="50"/>
      <c r="Y69" s="50"/>
      <c r="Z69" s="50"/>
    </row>
    <row r="70" spans="1:26" ht="15.75" customHeight="1" x14ac:dyDescent="0.35">
      <c r="A70" s="50"/>
      <c r="B70" s="106" t="s">
        <v>127</v>
      </c>
      <c r="C70" s="107"/>
      <c r="D70" s="108"/>
      <c r="E70" s="109"/>
      <c r="F70" s="109"/>
      <c r="G70" s="109" t="s">
        <v>128</v>
      </c>
      <c r="H70" s="109"/>
      <c r="I70" s="109"/>
      <c r="J70" s="109"/>
      <c r="K70" s="109"/>
      <c r="L70" s="158"/>
      <c r="M70" s="50"/>
      <c r="N70" s="50"/>
      <c r="O70" s="50"/>
      <c r="P70" s="50"/>
      <c r="Q70" s="50"/>
      <c r="R70" s="50"/>
      <c r="S70" s="50"/>
      <c r="T70" s="50"/>
      <c r="U70" s="50"/>
      <c r="V70" s="50"/>
      <c r="W70" s="50"/>
      <c r="X70" s="50"/>
      <c r="Y70" s="50"/>
      <c r="Z70" s="50"/>
    </row>
    <row r="71" spans="1:26" ht="15.75" customHeight="1" x14ac:dyDescent="0.35">
      <c r="A71" s="50"/>
      <c r="B71" s="110"/>
      <c r="C71" s="47"/>
      <c r="D71" s="111"/>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x14ac:dyDescent="0.3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x14ac:dyDescent="0.35">
      <c r="A73" s="50"/>
      <c r="B73" s="35" t="s">
        <v>55</v>
      </c>
      <c r="C73" s="38"/>
      <c r="D73" s="565" t="s">
        <v>129</v>
      </c>
      <c r="E73" s="552"/>
      <c r="F73" s="553"/>
      <c r="G73" s="112" t="s">
        <v>130</v>
      </c>
      <c r="H73" s="38" t="e">
        <f t="shared" ref="H73:P73" si="2">+G73+1</f>
        <v>#VALUE!</v>
      </c>
      <c r="I73" s="38" t="e">
        <f t="shared" si="2"/>
        <v>#VALUE!</v>
      </c>
      <c r="J73" s="38" t="e">
        <f t="shared" si="2"/>
        <v>#VALUE!</v>
      </c>
      <c r="K73" s="38" t="e">
        <f t="shared" si="2"/>
        <v>#VALUE!</v>
      </c>
      <c r="L73" s="38" t="e">
        <f t="shared" si="2"/>
        <v>#VALUE!</v>
      </c>
      <c r="M73" s="38" t="e">
        <f t="shared" si="2"/>
        <v>#VALUE!</v>
      </c>
      <c r="N73" s="38" t="e">
        <f t="shared" si="2"/>
        <v>#VALUE!</v>
      </c>
      <c r="O73" s="38" t="e">
        <f t="shared" si="2"/>
        <v>#VALUE!</v>
      </c>
      <c r="P73" s="39" t="e">
        <f t="shared" si="2"/>
        <v>#VALUE!</v>
      </c>
      <c r="Q73" s="50"/>
      <c r="R73" s="50"/>
      <c r="S73" s="50"/>
      <c r="T73" s="50"/>
      <c r="U73" s="50"/>
      <c r="V73" s="50"/>
      <c r="W73" s="50"/>
      <c r="X73" s="50"/>
      <c r="Y73" s="50"/>
      <c r="Z73" s="50"/>
    </row>
    <row r="74" spans="1:26" ht="15.75" customHeight="1" x14ac:dyDescent="0.35">
      <c r="A74" s="50"/>
      <c r="B74" s="40"/>
      <c r="C74" s="113"/>
      <c r="D74" s="159">
        <v>1</v>
      </c>
      <c r="E74" s="159">
        <f>+D74+1</f>
        <v>2</v>
      </c>
      <c r="F74" s="159">
        <f t="shared" ref="F74:P74" si="3">E74+1</f>
        <v>3</v>
      </c>
      <c r="G74" s="159">
        <f t="shared" si="3"/>
        <v>4</v>
      </c>
      <c r="H74" s="159">
        <f t="shared" si="3"/>
        <v>5</v>
      </c>
      <c r="I74" s="159">
        <f t="shared" si="3"/>
        <v>6</v>
      </c>
      <c r="J74" s="159">
        <f t="shared" si="3"/>
        <v>7</v>
      </c>
      <c r="K74" s="159">
        <f t="shared" si="3"/>
        <v>8</v>
      </c>
      <c r="L74" s="159">
        <f t="shared" si="3"/>
        <v>9</v>
      </c>
      <c r="M74" s="159">
        <f t="shared" si="3"/>
        <v>10</v>
      </c>
      <c r="N74" s="159">
        <f t="shared" si="3"/>
        <v>11</v>
      </c>
      <c r="O74" s="159">
        <f t="shared" si="3"/>
        <v>12</v>
      </c>
      <c r="P74" s="160">
        <f t="shared" si="3"/>
        <v>13</v>
      </c>
      <c r="Q74" s="50"/>
      <c r="R74" s="50"/>
      <c r="S74" s="50"/>
      <c r="T74" s="50"/>
      <c r="U74" s="50"/>
      <c r="V74" s="50"/>
      <c r="W74" s="50"/>
      <c r="X74" s="50"/>
      <c r="Y74" s="50"/>
      <c r="Z74" s="50"/>
    </row>
    <row r="75" spans="1:26" ht="15.75" customHeight="1" x14ac:dyDescent="0.35">
      <c r="A75" s="50"/>
      <c r="B75" s="46" t="s">
        <v>180</v>
      </c>
      <c r="C75" s="47"/>
      <c r="D75" s="49"/>
      <c r="E75" s="49"/>
      <c r="F75" s="49"/>
      <c r="G75" s="49"/>
      <c r="H75" s="49"/>
      <c r="I75" s="49"/>
      <c r="J75" s="49"/>
      <c r="K75" s="49"/>
      <c r="L75" s="49"/>
      <c r="M75" s="49"/>
      <c r="N75" s="50"/>
      <c r="O75" s="50"/>
      <c r="P75" s="115"/>
      <c r="Q75" s="50"/>
      <c r="R75" s="50"/>
      <c r="S75" s="50"/>
      <c r="T75" s="50"/>
      <c r="U75" s="50"/>
      <c r="V75" s="50"/>
      <c r="W75" s="50"/>
      <c r="X75" s="50"/>
      <c r="Y75" s="50"/>
      <c r="Z75" s="50"/>
    </row>
    <row r="76" spans="1:26" ht="15.75" customHeight="1" x14ac:dyDescent="0.35">
      <c r="A76" s="50"/>
      <c r="B76" s="53" t="s">
        <v>165</v>
      </c>
      <c r="C76" s="116" t="s">
        <v>94</v>
      </c>
      <c r="D76" s="49">
        <f t="shared" ref="D76:F76" si="4">D12</f>
        <v>1000</v>
      </c>
      <c r="E76" s="49">
        <f t="shared" si="4"/>
        <v>1000</v>
      </c>
      <c r="F76" s="49">
        <f t="shared" si="4"/>
        <v>1000</v>
      </c>
      <c r="G76" s="49">
        <f t="shared" ref="G76:P76" si="5">F76*(1+$D$61)</f>
        <v>1010</v>
      </c>
      <c r="H76" s="49">
        <f t="shared" si="5"/>
        <v>1020.1</v>
      </c>
      <c r="I76" s="49">
        <f t="shared" si="5"/>
        <v>1030.3009999999999</v>
      </c>
      <c r="J76" s="49">
        <f t="shared" si="5"/>
        <v>1040.60401</v>
      </c>
      <c r="K76" s="49">
        <f t="shared" si="5"/>
        <v>1051.0100500999999</v>
      </c>
      <c r="L76" s="49">
        <f t="shared" si="5"/>
        <v>1061.5201506009998</v>
      </c>
      <c r="M76" s="49">
        <f t="shared" si="5"/>
        <v>1072.1353521070098</v>
      </c>
      <c r="N76" s="49">
        <f t="shared" si="5"/>
        <v>1082.8567056280799</v>
      </c>
      <c r="O76" s="49">
        <f t="shared" si="5"/>
        <v>1093.6852726843608</v>
      </c>
      <c r="P76" s="117">
        <f t="shared" si="5"/>
        <v>1104.6221254112045</v>
      </c>
      <c r="Q76" s="50"/>
      <c r="R76" s="50"/>
      <c r="S76" s="50"/>
      <c r="T76" s="50"/>
      <c r="U76" s="50"/>
      <c r="V76" s="50"/>
      <c r="W76" s="50"/>
      <c r="X76" s="50"/>
      <c r="Y76" s="50"/>
      <c r="Z76" s="50"/>
    </row>
    <row r="77" spans="1:26" ht="15.75" customHeight="1" x14ac:dyDescent="0.35">
      <c r="A77" s="50"/>
      <c r="B77" s="53" t="s">
        <v>166</v>
      </c>
      <c r="C77" s="116" t="s">
        <v>94</v>
      </c>
      <c r="D77" s="49">
        <f t="shared" ref="D77:F77" si="6">D13</f>
        <v>1000</v>
      </c>
      <c r="E77" s="49">
        <f t="shared" si="6"/>
        <v>1000</v>
      </c>
      <c r="F77" s="49">
        <f t="shared" si="6"/>
        <v>1000</v>
      </c>
      <c r="G77" s="49">
        <f t="shared" ref="G77:P77" si="7">F77*(1+$D$61)</f>
        <v>1010</v>
      </c>
      <c r="H77" s="49">
        <f t="shared" si="7"/>
        <v>1020.1</v>
      </c>
      <c r="I77" s="49">
        <f t="shared" si="7"/>
        <v>1030.3009999999999</v>
      </c>
      <c r="J77" s="49">
        <f t="shared" si="7"/>
        <v>1040.60401</v>
      </c>
      <c r="K77" s="49">
        <f t="shared" si="7"/>
        <v>1051.0100500999999</v>
      </c>
      <c r="L77" s="49">
        <f t="shared" si="7"/>
        <v>1061.5201506009998</v>
      </c>
      <c r="M77" s="49">
        <f t="shared" si="7"/>
        <v>1072.1353521070098</v>
      </c>
      <c r="N77" s="49">
        <f t="shared" si="7"/>
        <v>1082.8567056280799</v>
      </c>
      <c r="O77" s="49">
        <f t="shared" si="7"/>
        <v>1093.6852726843608</v>
      </c>
      <c r="P77" s="117">
        <f t="shared" si="7"/>
        <v>1104.6221254112045</v>
      </c>
      <c r="Q77" s="50"/>
      <c r="R77" s="50"/>
      <c r="S77" s="50"/>
      <c r="T77" s="50"/>
      <c r="U77" s="50"/>
      <c r="V77" s="50"/>
      <c r="W77" s="50"/>
      <c r="X77" s="50"/>
      <c r="Y77" s="50"/>
      <c r="Z77" s="50"/>
    </row>
    <row r="78" spans="1:26" ht="15.75" customHeight="1" x14ac:dyDescent="0.35">
      <c r="A78" s="50"/>
      <c r="B78" s="53" t="s">
        <v>167</v>
      </c>
      <c r="C78" s="116" t="s">
        <v>94</v>
      </c>
      <c r="D78" s="49">
        <f t="shared" ref="D78:F78" si="8">D14</f>
        <v>1000</v>
      </c>
      <c r="E78" s="49">
        <f t="shared" si="8"/>
        <v>1000</v>
      </c>
      <c r="F78" s="49">
        <f t="shared" si="8"/>
        <v>1000</v>
      </c>
      <c r="G78" s="49">
        <f t="shared" ref="G78:P78" si="9">F78*(1+$D$61)</f>
        <v>1010</v>
      </c>
      <c r="H78" s="49">
        <f t="shared" si="9"/>
        <v>1020.1</v>
      </c>
      <c r="I78" s="49">
        <f t="shared" si="9"/>
        <v>1030.3009999999999</v>
      </c>
      <c r="J78" s="49">
        <f t="shared" si="9"/>
        <v>1040.60401</v>
      </c>
      <c r="K78" s="49">
        <f t="shared" si="9"/>
        <v>1051.0100500999999</v>
      </c>
      <c r="L78" s="49">
        <f t="shared" si="9"/>
        <v>1061.5201506009998</v>
      </c>
      <c r="M78" s="49">
        <f t="shared" si="9"/>
        <v>1072.1353521070098</v>
      </c>
      <c r="N78" s="49">
        <f t="shared" si="9"/>
        <v>1082.8567056280799</v>
      </c>
      <c r="O78" s="49">
        <f t="shared" si="9"/>
        <v>1093.6852726843608</v>
      </c>
      <c r="P78" s="117">
        <f t="shared" si="9"/>
        <v>1104.6221254112045</v>
      </c>
      <c r="Q78" s="50"/>
      <c r="R78" s="50"/>
      <c r="S78" s="50"/>
      <c r="T78" s="50"/>
      <c r="U78" s="50"/>
      <c r="V78" s="50"/>
      <c r="W78" s="50"/>
      <c r="X78" s="50"/>
      <c r="Y78" s="50"/>
      <c r="Z78" s="50"/>
    </row>
    <row r="79" spans="1:26" ht="15.75" customHeight="1" x14ac:dyDescent="0.35">
      <c r="A79" s="50"/>
      <c r="B79" s="53" t="s">
        <v>169</v>
      </c>
      <c r="C79" s="116" t="s">
        <v>94</v>
      </c>
      <c r="D79" s="49">
        <f t="shared" ref="D79:F79" si="10">D15</f>
        <v>1000</v>
      </c>
      <c r="E79" s="49">
        <f t="shared" si="10"/>
        <v>1000</v>
      </c>
      <c r="F79" s="49">
        <f t="shared" si="10"/>
        <v>1000</v>
      </c>
      <c r="G79" s="49">
        <f t="shared" ref="G79:P79" si="11">F79*(1+$D$61)</f>
        <v>1010</v>
      </c>
      <c r="H79" s="49">
        <f t="shared" si="11"/>
        <v>1020.1</v>
      </c>
      <c r="I79" s="49">
        <f t="shared" si="11"/>
        <v>1030.3009999999999</v>
      </c>
      <c r="J79" s="49">
        <f t="shared" si="11"/>
        <v>1040.60401</v>
      </c>
      <c r="K79" s="49">
        <f t="shared" si="11"/>
        <v>1051.0100500999999</v>
      </c>
      <c r="L79" s="49">
        <f t="shared" si="11"/>
        <v>1061.5201506009998</v>
      </c>
      <c r="M79" s="49">
        <f t="shared" si="11"/>
        <v>1072.1353521070098</v>
      </c>
      <c r="N79" s="49">
        <f t="shared" si="11"/>
        <v>1082.8567056280799</v>
      </c>
      <c r="O79" s="49">
        <f t="shared" si="11"/>
        <v>1093.6852726843608</v>
      </c>
      <c r="P79" s="117">
        <f t="shared" si="11"/>
        <v>1104.6221254112045</v>
      </c>
      <c r="Q79" s="50"/>
      <c r="R79" s="50"/>
      <c r="S79" s="50"/>
      <c r="T79" s="50"/>
      <c r="U79" s="50"/>
      <c r="V79" s="50"/>
      <c r="W79" s="50"/>
      <c r="X79" s="50"/>
      <c r="Y79" s="50"/>
      <c r="Z79" s="50"/>
    </row>
    <row r="80" spans="1:26" ht="15.75" customHeight="1" x14ac:dyDescent="0.35">
      <c r="A80" s="50"/>
      <c r="B80" s="53" t="s">
        <v>170</v>
      </c>
      <c r="C80" s="116" t="s">
        <v>94</v>
      </c>
      <c r="D80" s="49">
        <f t="shared" ref="D80:F80" si="12">D16</f>
        <v>1000</v>
      </c>
      <c r="E80" s="49">
        <f t="shared" si="12"/>
        <v>1000</v>
      </c>
      <c r="F80" s="49">
        <f t="shared" si="12"/>
        <v>1000</v>
      </c>
      <c r="G80" s="49">
        <f t="shared" ref="G80:P80" si="13">F80*(1+$D$61)</f>
        <v>1010</v>
      </c>
      <c r="H80" s="49">
        <f t="shared" si="13"/>
        <v>1020.1</v>
      </c>
      <c r="I80" s="49">
        <f t="shared" si="13"/>
        <v>1030.3009999999999</v>
      </c>
      <c r="J80" s="49">
        <f t="shared" si="13"/>
        <v>1040.60401</v>
      </c>
      <c r="K80" s="49">
        <f t="shared" si="13"/>
        <v>1051.0100500999999</v>
      </c>
      <c r="L80" s="49">
        <f t="shared" si="13"/>
        <v>1061.5201506009998</v>
      </c>
      <c r="M80" s="49">
        <f t="shared" si="13"/>
        <v>1072.1353521070098</v>
      </c>
      <c r="N80" s="49">
        <f t="shared" si="13"/>
        <v>1082.8567056280799</v>
      </c>
      <c r="O80" s="49">
        <f t="shared" si="13"/>
        <v>1093.6852726843608</v>
      </c>
      <c r="P80" s="117">
        <f t="shared" si="13"/>
        <v>1104.6221254112045</v>
      </c>
      <c r="Q80" s="50"/>
      <c r="R80" s="50"/>
      <c r="S80" s="50"/>
      <c r="T80" s="50"/>
      <c r="U80" s="50"/>
      <c r="V80" s="50"/>
      <c r="W80" s="50"/>
      <c r="X80" s="50"/>
      <c r="Y80" s="50"/>
      <c r="Z80" s="50"/>
    </row>
    <row r="81" spans="1:26" ht="15.75" customHeight="1" x14ac:dyDescent="0.35">
      <c r="A81" s="50"/>
      <c r="B81" s="53" t="s">
        <v>171</v>
      </c>
      <c r="C81" s="116" t="s">
        <v>94</v>
      </c>
      <c r="D81" s="49">
        <f t="shared" ref="D81:F81" si="14">D17</f>
        <v>1000</v>
      </c>
      <c r="E81" s="49">
        <f t="shared" si="14"/>
        <v>1000</v>
      </c>
      <c r="F81" s="49">
        <f t="shared" si="14"/>
        <v>1000</v>
      </c>
      <c r="G81" s="49">
        <f t="shared" ref="G81:P81" si="15">F81*(1+$D$61)</f>
        <v>1010</v>
      </c>
      <c r="H81" s="49">
        <f t="shared" si="15"/>
        <v>1020.1</v>
      </c>
      <c r="I81" s="49">
        <f t="shared" si="15"/>
        <v>1030.3009999999999</v>
      </c>
      <c r="J81" s="49">
        <f t="shared" si="15"/>
        <v>1040.60401</v>
      </c>
      <c r="K81" s="49">
        <f t="shared" si="15"/>
        <v>1051.0100500999999</v>
      </c>
      <c r="L81" s="49">
        <f t="shared" si="15"/>
        <v>1061.5201506009998</v>
      </c>
      <c r="M81" s="49">
        <f t="shared" si="15"/>
        <v>1072.1353521070098</v>
      </c>
      <c r="N81" s="49">
        <f t="shared" si="15"/>
        <v>1082.8567056280799</v>
      </c>
      <c r="O81" s="49">
        <f t="shared" si="15"/>
        <v>1093.6852726843608</v>
      </c>
      <c r="P81" s="117">
        <f t="shared" si="15"/>
        <v>1104.6221254112045</v>
      </c>
      <c r="Q81" s="50"/>
      <c r="R81" s="50"/>
      <c r="S81" s="50"/>
      <c r="T81" s="50"/>
      <c r="U81" s="50"/>
      <c r="V81" s="50"/>
      <c r="W81" s="50"/>
      <c r="X81" s="50"/>
      <c r="Y81" s="50"/>
      <c r="Z81" s="50"/>
    </row>
    <row r="82" spans="1:26" ht="15.75" customHeight="1" x14ac:dyDescent="0.35">
      <c r="A82" s="50"/>
      <c r="B82" s="53" t="s">
        <v>172</v>
      </c>
      <c r="C82" s="116" t="s">
        <v>94</v>
      </c>
      <c r="D82" s="49">
        <f t="shared" ref="D82:F82" si="16">D18</f>
        <v>1000</v>
      </c>
      <c r="E82" s="49">
        <f t="shared" si="16"/>
        <v>1000</v>
      </c>
      <c r="F82" s="49">
        <f t="shared" si="16"/>
        <v>1000</v>
      </c>
      <c r="G82" s="49">
        <f t="shared" ref="G82:P82" si="17">F82*(1+$D$61)</f>
        <v>1010</v>
      </c>
      <c r="H82" s="49">
        <f t="shared" si="17"/>
        <v>1020.1</v>
      </c>
      <c r="I82" s="49">
        <f t="shared" si="17"/>
        <v>1030.3009999999999</v>
      </c>
      <c r="J82" s="49">
        <f t="shared" si="17"/>
        <v>1040.60401</v>
      </c>
      <c r="K82" s="49">
        <f t="shared" si="17"/>
        <v>1051.0100500999999</v>
      </c>
      <c r="L82" s="49">
        <f t="shared" si="17"/>
        <v>1061.5201506009998</v>
      </c>
      <c r="M82" s="49">
        <f t="shared" si="17"/>
        <v>1072.1353521070098</v>
      </c>
      <c r="N82" s="49">
        <f t="shared" si="17"/>
        <v>1082.8567056280799</v>
      </c>
      <c r="O82" s="49">
        <f t="shared" si="17"/>
        <v>1093.6852726843608</v>
      </c>
      <c r="P82" s="117">
        <f t="shared" si="17"/>
        <v>1104.6221254112045</v>
      </c>
      <c r="Q82" s="50"/>
      <c r="R82" s="50"/>
      <c r="S82" s="50"/>
      <c r="T82" s="50"/>
      <c r="U82" s="50"/>
      <c r="V82" s="50"/>
      <c r="W82" s="50"/>
      <c r="X82" s="50"/>
      <c r="Y82" s="50"/>
      <c r="Z82" s="50"/>
    </row>
    <row r="83" spans="1:26" ht="15.75" customHeight="1" x14ac:dyDescent="0.35">
      <c r="A83" s="50"/>
      <c r="B83" s="53" t="s">
        <v>173</v>
      </c>
      <c r="C83" s="116" t="s">
        <v>94</v>
      </c>
      <c r="D83" s="49">
        <f t="shared" ref="D83:F83" si="18">D19</f>
        <v>1000</v>
      </c>
      <c r="E83" s="49">
        <f t="shared" si="18"/>
        <v>1000</v>
      </c>
      <c r="F83" s="49">
        <f t="shared" si="18"/>
        <v>1000</v>
      </c>
      <c r="G83" s="49">
        <f t="shared" ref="G83:P83" si="19">F83*(1+$D$61)</f>
        <v>1010</v>
      </c>
      <c r="H83" s="49">
        <f t="shared" si="19"/>
        <v>1020.1</v>
      </c>
      <c r="I83" s="49">
        <f t="shared" si="19"/>
        <v>1030.3009999999999</v>
      </c>
      <c r="J83" s="49">
        <f t="shared" si="19"/>
        <v>1040.60401</v>
      </c>
      <c r="K83" s="49">
        <f t="shared" si="19"/>
        <v>1051.0100500999999</v>
      </c>
      <c r="L83" s="49">
        <f t="shared" si="19"/>
        <v>1061.5201506009998</v>
      </c>
      <c r="M83" s="49">
        <f t="shared" si="19"/>
        <v>1072.1353521070098</v>
      </c>
      <c r="N83" s="49">
        <f t="shared" si="19"/>
        <v>1082.8567056280799</v>
      </c>
      <c r="O83" s="49">
        <f t="shared" si="19"/>
        <v>1093.6852726843608</v>
      </c>
      <c r="P83" s="117">
        <f t="shared" si="19"/>
        <v>1104.6221254112045</v>
      </c>
      <c r="Q83" s="50"/>
      <c r="R83" s="50"/>
      <c r="S83" s="50"/>
      <c r="T83" s="50"/>
      <c r="U83" s="50"/>
      <c r="V83" s="50"/>
      <c r="W83" s="50"/>
      <c r="X83" s="50"/>
      <c r="Y83" s="50"/>
      <c r="Z83" s="50"/>
    </row>
    <row r="84" spans="1:26" ht="15.75" customHeight="1" x14ac:dyDescent="0.35">
      <c r="A84" s="50"/>
      <c r="B84" s="53" t="s">
        <v>174</v>
      </c>
      <c r="C84" s="116" t="s">
        <v>94</v>
      </c>
      <c r="D84" s="49">
        <f t="shared" ref="D84:F84" si="20">D20</f>
        <v>1000</v>
      </c>
      <c r="E84" s="49">
        <f t="shared" si="20"/>
        <v>1000</v>
      </c>
      <c r="F84" s="49">
        <f t="shared" si="20"/>
        <v>1000</v>
      </c>
      <c r="G84" s="49">
        <f t="shared" ref="G84:P84" si="21">F84*(1+$D$61)</f>
        <v>1010</v>
      </c>
      <c r="H84" s="49">
        <f t="shared" si="21"/>
        <v>1020.1</v>
      </c>
      <c r="I84" s="49">
        <f t="shared" si="21"/>
        <v>1030.3009999999999</v>
      </c>
      <c r="J84" s="49">
        <f t="shared" si="21"/>
        <v>1040.60401</v>
      </c>
      <c r="K84" s="49">
        <f t="shared" si="21"/>
        <v>1051.0100500999999</v>
      </c>
      <c r="L84" s="49">
        <f t="shared" si="21"/>
        <v>1061.5201506009998</v>
      </c>
      <c r="M84" s="49">
        <f t="shared" si="21"/>
        <v>1072.1353521070098</v>
      </c>
      <c r="N84" s="49">
        <f t="shared" si="21"/>
        <v>1082.8567056280799</v>
      </c>
      <c r="O84" s="49">
        <f t="shared" si="21"/>
        <v>1093.6852726843608</v>
      </c>
      <c r="P84" s="117">
        <f t="shared" si="21"/>
        <v>1104.6221254112045</v>
      </c>
      <c r="Q84" s="50"/>
      <c r="R84" s="50"/>
      <c r="S84" s="50"/>
      <c r="T84" s="50"/>
      <c r="U84" s="50"/>
      <c r="V84" s="50"/>
      <c r="W84" s="50"/>
      <c r="X84" s="50"/>
      <c r="Y84" s="50"/>
      <c r="Z84" s="50"/>
    </row>
    <row r="85" spans="1:26" ht="15.75" customHeight="1" x14ac:dyDescent="0.35">
      <c r="A85" s="50"/>
      <c r="B85" s="53" t="s">
        <v>175</v>
      </c>
      <c r="C85" s="116" t="s">
        <v>94</v>
      </c>
      <c r="D85" s="49">
        <f t="shared" ref="D85:F85" si="22">D21</f>
        <v>1000</v>
      </c>
      <c r="E85" s="49">
        <f t="shared" si="22"/>
        <v>1000</v>
      </c>
      <c r="F85" s="49">
        <f t="shared" si="22"/>
        <v>1000</v>
      </c>
      <c r="G85" s="49">
        <f t="shared" ref="G85:P85" si="23">F85*(1+$D$61)</f>
        <v>1010</v>
      </c>
      <c r="H85" s="49">
        <f t="shared" si="23"/>
        <v>1020.1</v>
      </c>
      <c r="I85" s="49">
        <f t="shared" si="23"/>
        <v>1030.3009999999999</v>
      </c>
      <c r="J85" s="49">
        <f t="shared" si="23"/>
        <v>1040.60401</v>
      </c>
      <c r="K85" s="49">
        <f t="shared" si="23"/>
        <v>1051.0100500999999</v>
      </c>
      <c r="L85" s="49">
        <f t="shared" si="23"/>
        <v>1061.5201506009998</v>
      </c>
      <c r="M85" s="49">
        <f t="shared" si="23"/>
        <v>1072.1353521070098</v>
      </c>
      <c r="N85" s="49">
        <f t="shared" si="23"/>
        <v>1082.8567056280799</v>
      </c>
      <c r="O85" s="49">
        <f t="shared" si="23"/>
        <v>1093.6852726843608</v>
      </c>
      <c r="P85" s="117">
        <f t="shared" si="23"/>
        <v>1104.6221254112045</v>
      </c>
      <c r="Q85" s="50"/>
      <c r="R85" s="50"/>
      <c r="S85" s="50"/>
      <c r="T85" s="50"/>
      <c r="U85" s="50"/>
      <c r="V85" s="50"/>
      <c r="W85" s="50"/>
      <c r="X85" s="50"/>
      <c r="Y85" s="50"/>
      <c r="Z85" s="50"/>
    </row>
    <row r="86" spans="1:26" ht="15.75" customHeight="1" x14ac:dyDescent="0.35">
      <c r="A86" s="50"/>
      <c r="B86" s="53" t="s">
        <v>176</v>
      </c>
      <c r="C86" s="116" t="s">
        <v>94</v>
      </c>
      <c r="D86" s="49">
        <f t="shared" ref="D86:F86" si="24">D22</f>
        <v>1000</v>
      </c>
      <c r="E86" s="49">
        <f t="shared" si="24"/>
        <v>1000</v>
      </c>
      <c r="F86" s="49">
        <f t="shared" si="24"/>
        <v>1000</v>
      </c>
      <c r="G86" s="49">
        <f t="shared" ref="G86:P86" si="25">F86*(1+$D$61)</f>
        <v>1010</v>
      </c>
      <c r="H86" s="49">
        <f t="shared" si="25"/>
        <v>1020.1</v>
      </c>
      <c r="I86" s="49">
        <f t="shared" si="25"/>
        <v>1030.3009999999999</v>
      </c>
      <c r="J86" s="49">
        <f t="shared" si="25"/>
        <v>1040.60401</v>
      </c>
      <c r="K86" s="49">
        <f t="shared" si="25"/>
        <v>1051.0100500999999</v>
      </c>
      <c r="L86" s="49">
        <f t="shared" si="25"/>
        <v>1061.5201506009998</v>
      </c>
      <c r="M86" s="49">
        <f t="shared" si="25"/>
        <v>1072.1353521070098</v>
      </c>
      <c r="N86" s="49">
        <f t="shared" si="25"/>
        <v>1082.8567056280799</v>
      </c>
      <c r="O86" s="49">
        <f t="shared" si="25"/>
        <v>1093.6852726843608</v>
      </c>
      <c r="P86" s="117">
        <f t="shared" si="25"/>
        <v>1104.6221254112045</v>
      </c>
      <c r="Q86" s="50"/>
      <c r="R86" s="50"/>
      <c r="S86" s="50"/>
      <c r="T86" s="50"/>
      <c r="U86" s="50"/>
      <c r="V86" s="50"/>
      <c r="W86" s="50"/>
      <c r="X86" s="50"/>
      <c r="Y86" s="50"/>
      <c r="Z86" s="50"/>
    </row>
    <row r="87" spans="1:26" ht="15.75" customHeight="1" x14ac:dyDescent="0.35">
      <c r="A87" s="32"/>
      <c r="B87" s="58" t="s">
        <v>65</v>
      </c>
      <c r="C87" s="116" t="s">
        <v>94</v>
      </c>
      <c r="D87" s="118">
        <f t="shared" ref="D87:P87" si="26">SUM(D76:D86)</f>
        <v>11000</v>
      </c>
      <c r="E87" s="118">
        <f t="shared" si="26"/>
        <v>11000</v>
      </c>
      <c r="F87" s="118">
        <f t="shared" si="26"/>
        <v>11000</v>
      </c>
      <c r="G87" s="118">
        <f t="shared" si="26"/>
        <v>11110</v>
      </c>
      <c r="H87" s="118">
        <f t="shared" si="26"/>
        <v>11221.100000000002</v>
      </c>
      <c r="I87" s="118">
        <f t="shared" si="26"/>
        <v>11333.310999999996</v>
      </c>
      <c r="J87" s="118">
        <f t="shared" si="26"/>
        <v>11446.644109999997</v>
      </c>
      <c r="K87" s="118">
        <f t="shared" si="26"/>
        <v>11561.110551099999</v>
      </c>
      <c r="L87" s="118">
        <f t="shared" si="26"/>
        <v>11676.721656610998</v>
      </c>
      <c r="M87" s="118">
        <f t="shared" si="26"/>
        <v>11793.48887317711</v>
      </c>
      <c r="N87" s="118">
        <f t="shared" si="26"/>
        <v>11911.423761908882</v>
      </c>
      <c r="O87" s="118">
        <f t="shared" si="26"/>
        <v>12030.537999527969</v>
      </c>
      <c r="P87" s="119">
        <f t="shared" si="26"/>
        <v>12150.843379523249</v>
      </c>
      <c r="Q87" s="32"/>
      <c r="R87" s="32"/>
      <c r="S87" s="32"/>
      <c r="T87" s="32"/>
      <c r="U87" s="32"/>
      <c r="V87" s="32"/>
      <c r="W87" s="32"/>
      <c r="X87" s="32"/>
      <c r="Y87" s="32"/>
      <c r="Z87" s="32"/>
    </row>
    <row r="88" spans="1:26" ht="15.75" customHeight="1" x14ac:dyDescent="0.35">
      <c r="A88" s="50"/>
      <c r="B88" s="62" t="s">
        <v>132</v>
      </c>
      <c r="C88" s="50"/>
      <c r="D88" s="120"/>
      <c r="E88" s="50"/>
      <c r="F88" s="50"/>
      <c r="G88" s="50"/>
      <c r="H88" s="50"/>
      <c r="I88" s="50"/>
      <c r="J88" s="50"/>
      <c r="K88" s="50"/>
      <c r="L88" s="50"/>
      <c r="M88" s="50"/>
      <c r="N88" s="50"/>
      <c r="O88" s="50"/>
      <c r="P88" s="115"/>
      <c r="Q88" s="50"/>
      <c r="R88" s="50"/>
      <c r="S88" s="50"/>
      <c r="T88" s="50"/>
      <c r="U88" s="50"/>
      <c r="V88" s="50"/>
      <c r="W88" s="50"/>
      <c r="X88" s="50"/>
      <c r="Y88" s="50"/>
      <c r="Z88" s="50"/>
    </row>
    <row r="89" spans="1:26" ht="15.75" customHeight="1" x14ac:dyDescent="0.35">
      <c r="A89" s="50"/>
      <c r="B89" s="53" t="s">
        <v>165</v>
      </c>
      <c r="C89" s="50"/>
      <c r="D89" s="64">
        <f t="shared" ref="D89:F89" si="27">D38</f>
        <v>100</v>
      </c>
      <c r="E89" s="64">
        <f t="shared" si="27"/>
        <v>100</v>
      </c>
      <c r="F89" s="64">
        <f t="shared" si="27"/>
        <v>100</v>
      </c>
      <c r="G89" s="64">
        <f t="shared" ref="G89:P89" si="28">IFERROR(F89*(1+$D$62),"")</f>
        <v>101</v>
      </c>
      <c r="H89" s="64">
        <f t="shared" si="28"/>
        <v>102.01</v>
      </c>
      <c r="I89" s="64">
        <f t="shared" si="28"/>
        <v>103.0301</v>
      </c>
      <c r="J89" s="64">
        <f t="shared" si="28"/>
        <v>104.060401</v>
      </c>
      <c r="K89" s="64">
        <f t="shared" si="28"/>
        <v>105.10100500999999</v>
      </c>
      <c r="L89" s="64">
        <f t="shared" si="28"/>
        <v>106.1520150601</v>
      </c>
      <c r="M89" s="64">
        <f t="shared" si="28"/>
        <v>107.213535210701</v>
      </c>
      <c r="N89" s="64">
        <f t="shared" si="28"/>
        <v>108.28567056280801</v>
      </c>
      <c r="O89" s="64">
        <f t="shared" si="28"/>
        <v>109.36852726843608</v>
      </c>
      <c r="P89" s="122">
        <f t="shared" si="28"/>
        <v>110.46221254112045</v>
      </c>
      <c r="Q89" s="50"/>
      <c r="R89" s="50"/>
      <c r="S89" s="50"/>
      <c r="T89" s="50"/>
      <c r="U89" s="50"/>
      <c r="V89" s="50"/>
      <c r="W89" s="50"/>
      <c r="X89" s="50"/>
      <c r="Y89" s="50"/>
      <c r="Z89" s="50"/>
    </row>
    <row r="90" spans="1:26" ht="15.75" customHeight="1" x14ac:dyDescent="0.35">
      <c r="A90" s="50"/>
      <c r="B90" s="53" t="s">
        <v>166</v>
      </c>
      <c r="C90" s="50"/>
      <c r="D90" s="64">
        <f t="shared" ref="D90:F90" si="29">D39</f>
        <v>100</v>
      </c>
      <c r="E90" s="64">
        <f t="shared" si="29"/>
        <v>100</v>
      </c>
      <c r="F90" s="64">
        <f t="shared" si="29"/>
        <v>100</v>
      </c>
      <c r="G90" s="64">
        <f t="shared" ref="G90:P90" si="30">IFERROR(F90*(1+$D$62),"")</f>
        <v>101</v>
      </c>
      <c r="H90" s="64">
        <f t="shared" si="30"/>
        <v>102.01</v>
      </c>
      <c r="I90" s="64">
        <f t="shared" si="30"/>
        <v>103.0301</v>
      </c>
      <c r="J90" s="64">
        <f t="shared" si="30"/>
        <v>104.060401</v>
      </c>
      <c r="K90" s="64">
        <f t="shared" si="30"/>
        <v>105.10100500999999</v>
      </c>
      <c r="L90" s="64">
        <f t="shared" si="30"/>
        <v>106.1520150601</v>
      </c>
      <c r="M90" s="64">
        <f t="shared" si="30"/>
        <v>107.213535210701</v>
      </c>
      <c r="N90" s="64">
        <f t="shared" si="30"/>
        <v>108.28567056280801</v>
      </c>
      <c r="O90" s="64">
        <f t="shared" si="30"/>
        <v>109.36852726843608</v>
      </c>
      <c r="P90" s="122">
        <f t="shared" si="30"/>
        <v>110.46221254112045</v>
      </c>
      <c r="Q90" s="50"/>
      <c r="R90" s="50"/>
      <c r="S90" s="50"/>
      <c r="T90" s="50"/>
      <c r="U90" s="50"/>
      <c r="V90" s="50"/>
      <c r="W90" s="50"/>
      <c r="X90" s="50"/>
      <c r="Y90" s="50"/>
      <c r="Z90" s="50"/>
    </row>
    <row r="91" spans="1:26" ht="15.75" customHeight="1" x14ac:dyDescent="0.35">
      <c r="A91" s="50"/>
      <c r="B91" s="53" t="s">
        <v>167</v>
      </c>
      <c r="C91" s="50"/>
      <c r="D91" s="64">
        <f t="shared" ref="D91:F91" si="31">D40</f>
        <v>100</v>
      </c>
      <c r="E91" s="64">
        <f t="shared" si="31"/>
        <v>100</v>
      </c>
      <c r="F91" s="64">
        <f t="shared" si="31"/>
        <v>100</v>
      </c>
      <c r="G91" s="64">
        <f t="shared" ref="G91:P91" si="32">IFERROR(F91*(1+$D$62),"")</f>
        <v>101</v>
      </c>
      <c r="H91" s="64">
        <f t="shared" si="32"/>
        <v>102.01</v>
      </c>
      <c r="I91" s="64">
        <f t="shared" si="32"/>
        <v>103.0301</v>
      </c>
      <c r="J91" s="64">
        <f t="shared" si="32"/>
        <v>104.060401</v>
      </c>
      <c r="K91" s="64">
        <f t="shared" si="32"/>
        <v>105.10100500999999</v>
      </c>
      <c r="L91" s="64">
        <f t="shared" si="32"/>
        <v>106.1520150601</v>
      </c>
      <c r="M91" s="64">
        <f t="shared" si="32"/>
        <v>107.213535210701</v>
      </c>
      <c r="N91" s="64">
        <f t="shared" si="32"/>
        <v>108.28567056280801</v>
      </c>
      <c r="O91" s="64">
        <f t="shared" si="32"/>
        <v>109.36852726843608</v>
      </c>
      <c r="P91" s="122">
        <f t="shared" si="32"/>
        <v>110.46221254112045</v>
      </c>
      <c r="Q91" s="50"/>
      <c r="R91" s="50"/>
      <c r="S91" s="50"/>
      <c r="T91" s="50"/>
      <c r="U91" s="50"/>
      <c r="V91" s="50"/>
      <c r="W91" s="50"/>
      <c r="X91" s="50"/>
      <c r="Y91" s="50"/>
      <c r="Z91" s="50"/>
    </row>
    <row r="92" spans="1:26" ht="15.75" customHeight="1" x14ac:dyDescent="0.35">
      <c r="A92" s="50"/>
      <c r="B92" s="53" t="s">
        <v>169</v>
      </c>
      <c r="C92" s="50"/>
      <c r="D92" s="64">
        <f t="shared" ref="D92:F92" si="33">D41</f>
        <v>100</v>
      </c>
      <c r="E92" s="64">
        <f t="shared" si="33"/>
        <v>100</v>
      </c>
      <c r="F92" s="64">
        <f t="shared" si="33"/>
        <v>100</v>
      </c>
      <c r="G92" s="64">
        <f t="shared" ref="G92:P92" si="34">IFERROR(F92*(1+$D$62),"")</f>
        <v>101</v>
      </c>
      <c r="H92" s="64">
        <f t="shared" si="34"/>
        <v>102.01</v>
      </c>
      <c r="I92" s="64">
        <f t="shared" si="34"/>
        <v>103.0301</v>
      </c>
      <c r="J92" s="64">
        <f t="shared" si="34"/>
        <v>104.060401</v>
      </c>
      <c r="K92" s="64">
        <f t="shared" si="34"/>
        <v>105.10100500999999</v>
      </c>
      <c r="L92" s="64">
        <f t="shared" si="34"/>
        <v>106.1520150601</v>
      </c>
      <c r="M92" s="64">
        <f t="shared" si="34"/>
        <v>107.213535210701</v>
      </c>
      <c r="N92" s="64">
        <f t="shared" si="34"/>
        <v>108.28567056280801</v>
      </c>
      <c r="O92" s="64">
        <f t="shared" si="34"/>
        <v>109.36852726843608</v>
      </c>
      <c r="P92" s="122">
        <f t="shared" si="34"/>
        <v>110.46221254112045</v>
      </c>
      <c r="Q92" s="50"/>
      <c r="R92" s="50"/>
      <c r="S92" s="50"/>
      <c r="T92" s="50"/>
      <c r="U92" s="50"/>
      <c r="V92" s="50"/>
      <c r="W92" s="50"/>
      <c r="X92" s="50"/>
      <c r="Y92" s="50"/>
      <c r="Z92" s="50"/>
    </row>
    <row r="93" spans="1:26" ht="15.75" customHeight="1" x14ac:dyDescent="0.35">
      <c r="A93" s="50"/>
      <c r="B93" s="53" t="s">
        <v>170</v>
      </c>
      <c r="C93" s="50"/>
      <c r="D93" s="64">
        <f t="shared" ref="D93:F93" si="35">D42</f>
        <v>100</v>
      </c>
      <c r="E93" s="64">
        <f t="shared" si="35"/>
        <v>100</v>
      </c>
      <c r="F93" s="64">
        <f t="shared" si="35"/>
        <v>100</v>
      </c>
      <c r="G93" s="64">
        <f t="shared" ref="G93:P93" si="36">IFERROR(F93*(1+$D$62),"")</f>
        <v>101</v>
      </c>
      <c r="H93" s="64">
        <f t="shared" si="36"/>
        <v>102.01</v>
      </c>
      <c r="I93" s="64">
        <f t="shared" si="36"/>
        <v>103.0301</v>
      </c>
      <c r="J93" s="64">
        <f t="shared" si="36"/>
        <v>104.060401</v>
      </c>
      <c r="K93" s="64">
        <f t="shared" si="36"/>
        <v>105.10100500999999</v>
      </c>
      <c r="L93" s="64">
        <f t="shared" si="36"/>
        <v>106.1520150601</v>
      </c>
      <c r="M93" s="64">
        <f t="shared" si="36"/>
        <v>107.213535210701</v>
      </c>
      <c r="N93" s="64">
        <f t="shared" si="36"/>
        <v>108.28567056280801</v>
      </c>
      <c r="O93" s="64">
        <f t="shared" si="36"/>
        <v>109.36852726843608</v>
      </c>
      <c r="P93" s="122">
        <f t="shared" si="36"/>
        <v>110.46221254112045</v>
      </c>
      <c r="Q93" s="50"/>
      <c r="R93" s="50"/>
      <c r="S93" s="50"/>
      <c r="T93" s="50"/>
      <c r="U93" s="50"/>
      <c r="V93" s="50"/>
      <c r="W93" s="50"/>
      <c r="X93" s="50"/>
      <c r="Y93" s="50"/>
      <c r="Z93" s="50"/>
    </row>
    <row r="94" spans="1:26" ht="15.75" customHeight="1" x14ac:dyDescent="0.35">
      <c r="A94" s="50"/>
      <c r="B94" s="53" t="s">
        <v>171</v>
      </c>
      <c r="C94" s="50"/>
      <c r="D94" s="64">
        <f t="shared" ref="D94:F94" si="37">D43</f>
        <v>100</v>
      </c>
      <c r="E94" s="64">
        <f t="shared" si="37"/>
        <v>100</v>
      </c>
      <c r="F94" s="64">
        <f t="shared" si="37"/>
        <v>100</v>
      </c>
      <c r="G94" s="64">
        <f t="shared" ref="G94:P94" si="38">IFERROR(F94*(1+$D$62),"")</f>
        <v>101</v>
      </c>
      <c r="H94" s="64">
        <f t="shared" si="38"/>
        <v>102.01</v>
      </c>
      <c r="I94" s="64">
        <f t="shared" si="38"/>
        <v>103.0301</v>
      </c>
      <c r="J94" s="64">
        <f t="shared" si="38"/>
        <v>104.060401</v>
      </c>
      <c r="K94" s="64">
        <f t="shared" si="38"/>
        <v>105.10100500999999</v>
      </c>
      <c r="L94" s="64">
        <f t="shared" si="38"/>
        <v>106.1520150601</v>
      </c>
      <c r="M94" s="64">
        <f t="shared" si="38"/>
        <v>107.213535210701</v>
      </c>
      <c r="N94" s="64">
        <f t="shared" si="38"/>
        <v>108.28567056280801</v>
      </c>
      <c r="O94" s="64">
        <f t="shared" si="38"/>
        <v>109.36852726843608</v>
      </c>
      <c r="P94" s="122">
        <f t="shared" si="38"/>
        <v>110.46221254112045</v>
      </c>
      <c r="Q94" s="50"/>
      <c r="R94" s="50"/>
      <c r="S94" s="50"/>
      <c r="T94" s="50"/>
      <c r="U94" s="50"/>
      <c r="V94" s="50"/>
      <c r="W94" s="50"/>
      <c r="X94" s="50"/>
      <c r="Y94" s="50"/>
      <c r="Z94" s="50"/>
    </row>
    <row r="95" spans="1:26" ht="15.75" customHeight="1" x14ac:dyDescent="0.35">
      <c r="A95" s="50"/>
      <c r="B95" s="53" t="s">
        <v>172</v>
      </c>
      <c r="C95" s="50"/>
      <c r="D95" s="64">
        <f t="shared" ref="D95:F95" si="39">D44</f>
        <v>100</v>
      </c>
      <c r="E95" s="64">
        <f t="shared" si="39"/>
        <v>100</v>
      </c>
      <c r="F95" s="64">
        <f t="shared" si="39"/>
        <v>100</v>
      </c>
      <c r="G95" s="64">
        <f t="shared" ref="G95:P95" si="40">IFERROR(F95*(1+$D$62),"")</f>
        <v>101</v>
      </c>
      <c r="H95" s="64">
        <f t="shared" si="40"/>
        <v>102.01</v>
      </c>
      <c r="I95" s="64">
        <f t="shared" si="40"/>
        <v>103.0301</v>
      </c>
      <c r="J95" s="64">
        <f t="shared" si="40"/>
        <v>104.060401</v>
      </c>
      <c r="K95" s="64">
        <f t="shared" si="40"/>
        <v>105.10100500999999</v>
      </c>
      <c r="L95" s="64">
        <f t="shared" si="40"/>
        <v>106.1520150601</v>
      </c>
      <c r="M95" s="64">
        <f t="shared" si="40"/>
        <v>107.213535210701</v>
      </c>
      <c r="N95" s="64">
        <f t="shared" si="40"/>
        <v>108.28567056280801</v>
      </c>
      <c r="O95" s="64">
        <f t="shared" si="40"/>
        <v>109.36852726843608</v>
      </c>
      <c r="P95" s="122">
        <f t="shared" si="40"/>
        <v>110.46221254112045</v>
      </c>
      <c r="Q95" s="50"/>
      <c r="R95" s="50"/>
      <c r="S95" s="50"/>
      <c r="T95" s="50"/>
      <c r="U95" s="50"/>
      <c r="V95" s="50"/>
      <c r="W95" s="50"/>
      <c r="X95" s="50"/>
      <c r="Y95" s="50"/>
      <c r="Z95" s="50"/>
    </row>
    <row r="96" spans="1:26" ht="15.75" customHeight="1" x14ac:dyDescent="0.35">
      <c r="A96" s="50"/>
      <c r="B96" s="53" t="s">
        <v>173</v>
      </c>
      <c r="C96" s="50"/>
      <c r="D96" s="64">
        <f t="shared" ref="D96:F96" si="41">D45</f>
        <v>100</v>
      </c>
      <c r="E96" s="64">
        <f t="shared" si="41"/>
        <v>100</v>
      </c>
      <c r="F96" s="64">
        <f t="shared" si="41"/>
        <v>100</v>
      </c>
      <c r="G96" s="64">
        <f t="shared" ref="G96:P96" si="42">IFERROR(F96*(1+$D$62),"")</f>
        <v>101</v>
      </c>
      <c r="H96" s="64">
        <f t="shared" si="42"/>
        <v>102.01</v>
      </c>
      <c r="I96" s="64">
        <f t="shared" si="42"/>
        <v>103.0301</v>
      </c>
      <c r="J96" s="64">
        <f t="shared" si="42"/>
        <v>104.060401</v>
      </c>
      <c r="K96" s="64">
        <f t="shared" si="42"/>
        <v>105.10100500999999</v>
      </c>
      <c r="L96" s="64">
        <f t="shared" si="42"/>
        <v>106.1520150601</v>
      </c>
      <c r="M96" s="64">
        <f t="shared" si="42"/>
        <v>107.213535210701</v>
      </c>
      <c r="N96" s="64">
        <f t="shared" si="42"/>
        <v>108.28567056280801</v>
      </c>
      <c r="O96" s="64">
        <f t="shared" si="42"/>
        <v>109.36852726843608</v>
      </c>
      <c r="P96" s="122">
        <f t="shared" si="42"/>
        <v>110.46221254112045</v>
      </c>
      <c r="Q96" s="50"/>
      <c r="R96" s="50"/>
      <c r="S96" s="50"/>
      <c r="T96" s="50"/>
      <c r="U96" s="50"/>
      <c r="V96" s="50"/>
      <c r="W96" s="50"/>
      <c r="X96" s="50"/>
      <c r="Y96" s="50"/>
      <c r="Z96" s="50"/>
    </row>
    <row r="97" spans="1:26" ht="15.75" customHeight="1" x14ac:dyDescent="0.35">
      <c r="A97" s="50"/>
      <c r="B97" s="53" t="s">
        <v>174</v>
      </c>
      <c r="C97" s="50"/>
      <c r="D97" s="64">
        <f t="shared" ref="D97:F97" si="43">D46</f>
        <v>100</v>
      </c>
      <c r="E97" s="64">
        <f t="shared" si="43"/>
        <v>100</v>
      </c>
      <c r="F97" s="64">
        <f t="shared" si="43"/>
        <v>100</v>
      </c>
      <c r="G97" s="64">
        <f t="shared" ref="G97:P97" si="44">IFERROR(F97*(1+$D$62),"")</f>
        <v>101</v>
      </c>
      <c r="H97" s="64">
        <f t="shared" si="44"/>
        <v>102.01</v>
      </c>
      <c r="I97" s="64">
        <f t="shared" si="44"/>
        <v>103.0301</v>
      </c>
      <c r="J97" s="64">
        <f t="shared" si="44"/>
        <v>104.060401</v>
      </c>
      <c r="K97" s="64">
        <f t="shared" si="44"/>
        <v>105.10100500999999</v>
      </c>
      <c r="L97" s="64">
        <f t="shared" si="44"/>
        <v>106.1520150601</v>
      </c>
      <c r="M97" s="64">
        <f t="shared" si="44"/>
        <v>107.213535210701</v>
      </c>
      <c r="N97" s="64">
        <f t="shared" si="44"/>
        <v>108.28567056280801</v>
      </c>
      <c r="O97" s="64">
        <f t="shared" si="44"/>
        <v>109.36852726843608</v>
      </c>
      <c r="P97" s="122">
        <f t="shared" si="44"/>
        <v>110.46221254112045</v>
      </c>
      <c r="Q97" s="50"/>
      <c r="R97" s="50"/>
      <c r="S97" s="50"/>
      <c r="T97" s="50"/>
      <c r="U97" s="50"/>
      <c r="V97" s="50"/>
      <c r="W97" s="50"/>
      <c r="X97" s="50"/>
      <c r="Y97" s="50"/>
      <c r="Z97" s="50"/>
    </row>
    <row r="98" spans="1:26" ht="15.75" customHeight="1" x14ac:dyDescent="0.35">
      <c r="A98" s="50"/>
      <c r="B98" s="53" t="s">
        <v>175</v>
      </c>
      <c r="C98" s="50"/>
      <c r="D98" s="64">
        <f t="shared" ref="D98:F98" si="45">D47</f>
        <v>100</v>
      </c>
      <c r="E98" s="64">
        <f t="shared" si="45"/>
        <v>100</v>
      </c>
      <c r="F98" s="64">
        <f t="shared" si="45"/>
        <v>100</v>
      </c>
      <c r="G98" s="64">
        <f t="shared" ref="G98:P98" si="46">IFERROR(F98*(1+$D$62),"")</f>
        <v>101</v>
      </c>
      <c r="H98" s="64">
        <f t="shared" si="46"/>
        <v>102.01</v>
      </c>
      <c r="I98" s="64">
        <f t="shared" si="46"/>
        <v>103.0301</v>
      </c>
      <c r="J98" s="64">
        <f t="shared" si="46"/>
        <v>104.060401</v>
      </c>
      <c r="K98" s="64">
        <f t="shared" si="46"/>
        <v>105.10100500999999</v>
      </c>
      <c r="L98" s="64">
        <f t="shared" si="46"/>
        <v>106.1520150601</v>
      </c>
      <c r="M98" s="64">
        <f t="shared" si="46"/>
        <v>107.213535210701</v>
      </c>
      <c r="N98" s="64">
        <f t="shared" si="46"/>
        <v>108.28567056280801</v>
      </c>
      <c r="O98" s="64">
        <f t="shared" si="46"/>
        <v>109.36852726843608</v>
      </c>
      <c r="P98" s="122">
        <f t="shared" si="46"/>
        <v>110.46221254112045</v>
      </c>
      <c r="Q98" s="50"/>
      <c r="R98" s="50"/>
      <c r="S98" s="50"/>
      <c r="T98" s="50"/>
      <c r="U98" s="50"/>
      <c r="V98" s="50"/>
      <c r="W98" s="50"/>
      <c r="X98" s="50"/>
      <c r="Y98" s="50"/>
      <c r="Z98" s="50"/>
    </row>
    <row r="99" spans="1:26" ht="15.75" customHeight="1" x14ac:dyDescent="0.35">
      <c r="A99" s="50"/>
      <c r="B99" s="53" t="s">
        <v>176</v>
      </c>
      <c r="C99" s="50"/>
      <c r="D99" s="64">
        <f t="shared" ref="D99:F99" si="47">D48</f>
        <v>100</v>
      </c>
      <c r="E99" s="64">
        <f t="shared" si="47"/>
        <v>100</v>
      </c>
      <c r="F99" s="64">
        <f t="shared" si="47"/>
        <v>100</v>
      </c>
      <c r="G99" s="64">
        <f t="shared" ref="G99:P99" si="48">IFERROR(F99*(1+$D$62),"")</f>
        <v>101</v>
      </c>
      <c r="H99" s="64">
        <f t="shared" si="48"/>
        <v>102.01</v>
      </c>
      <c r="I99" s="64">
        <f t="shared" si="48"/>
        <v>103.0301</v>
      </c>
      <c r="J99" s="64">
        <f t="shared" si="48"/>
        <v>104.060401</v>
      </c>
      <c r="K99" s="64">
        <f t="shared" si="48"/>
        <v>105.10100500999999</v>
      </c>
      <c r="L99" s="64">
        <f t="shared" si="48"/>
        <v>106.1520150601</v>
      </c>
      <c r="M99" s="64">
        <f t="shared" si="48"/>
        <v>107.213535210701</v>
      </c>
      <c r="N99" s="64">
        <f t="shared" si="48"/>
        <v>108.28567056280801</v>
      </c>
      <c r="O99" s="64">
        <f t="shared" si="48"/>
        <v>109.36852726843608</v>
      </c>
      <c r="P99" s="122">
        <f t="shared" si="48"/>
        <v>110.46221254112045</v>
      </c>
      <c r="Q99" s="64"/>
      <c r="R99" s="64"/>
      <c r="S99" s="50"/>
      <c r="T99" s="50"/>
      <c r="U99" s="50"/>
      <c r="V99" s="50"/>
      <c r="W99" s="50"/>
      <c r="X99" s="50"/>
      <c r="Y99" s="50"/>
      <c r="Z99" s="50"/>
    </row>
    <row r="100" spans="1:26" ht="15.75" customHeight="1" x14ac:dyDescent="0.35">
      <c r="A100" s="50"/>
      <c r="B100" s="46" t="s">
        <v>181</v>
      </c>
      <c r="C100" s="65"/>
      <c r="D100" s="123"/>
      <c r="E100" s="123"/>
      <c r="F100" s="123"/>
      <c r="G100" s="50"/>
      <c r="H100" s="50"/>
      <c r="I100" s="50"/>
      <c r="J100" s="50"/>
      <c r="K100" s="50"/>
      <c r="L100" s="50"/>
      <c r="M100" s="50"/>
      <c r="N100" s="50"/>
      <c r="O100" s="50"/>
      <c r="P100" s="115"/>
      <c r="Q100" s="50"/>
      <c r="R100" s="50"/>
      <c r="S100" s="50"/>
      <c r="T100" s="50"/>
      <c r="U100" s="50"/>
      <c r="V100" s="50"/>
      <c r="W100" s="50"/>
      <c r="X100" s="50"/>
      <c r="Y100" s="50"/>
      <c r="Z100" s="50"/>
    </row>
    <row r="101" spans="1:26" ht="15.75" customHeight="1" x14ac:dyDescent="0.35">
      <c r="A101" s="50"/>
      <c r="B101" s="53" t="s">
        <v>165</v>
      </c>
      <c r="C101" s="116" t="s">
        <v>94</v>
      </c>
      <c r="D101" s="80">
        <f t="shared" ref="D101:F101" si="49">D25</f>
        <v>100</v>
      </c>
      <c r="E101" s="80">
        <f t="shared" si="49"/>
        <v>100</v>
      </c>
      <c r="F101" s="80">
        <f t="shared" si="49"/>
        <v>100</v>
      </c>
      <c r="G101" s="120">
        <f t="shared" ref="G101:P101" si="50">F101*(1+$D$64)</f>
        <v>105</v>
      </c>
      <c r="H101" s="120">
        <f t="shared" si="50"/>
        <v>110.25</v>
      </c>
      <c r="I101" s="120">
        <f t="shared" si="50"/>
        <v>115.7625</v>
      </c>
      <c r="J101" s="120">
        <f t="shared" si="50"/>
        <v>121.55062500000001</v>
      </c>
      <c r="K101" s="120">
        <f t="shared" si="50"/>
        <v>127.62815625000002</v>
      </c>
      <c r="L101" s="120">
        <f t="shared" si="50"/>
        <v>134.00956406250003</v>
      </c>
      <c r="M101" s="120">
        <f t="shared" si="50"/>
        <v>140.71004226562505</v>
      </c>
      <c r="N101" s="120">
        <f t="shared" si="50"/>
        <v>147.74554437890632</v>
      </c>
      <c r="O101" s="120">
        <f t="shared" si="50"/>
        <v>155.13282159785163</v>
      </c>
      <c r="P101" s="124">
        <f t="shared" si="50"/>
        <v>162.88946267774421</v>
      </c>
      <c r="Q101" s="50"/>
      <c r="R101" s="50"/>
      <c r="S101" s="50"/>
      <c r="T101" s="50"/>
      <c r="U101" s="50"/>
      <c r="V101" s="50"/>
      <c r="W101" s="50"/>
      <c r="X101" s="50"/>
      <c r="Y101" s="50"/>
      <c r="Z101" s="50"/>
    </row>
    <row r="102" spans="1:26" ht="15.75" customHeight="1" x14ac:dyDescent="0.35">
      <c r="A102" s="50"/>
      <c r="B102" s="53" t="s">
        <v>166</v>
      </c>
      <c r="C102" s="116" t="s">
        <v>94</v>
      </c>
      <c r="D102" s="80">
        <f t="shared" ref="D102:F102" si="51">D26</f>
        <v>100</v>
      </c>
      <c r="E102" s="80">
        <f t="shared" si="51"/>
        <v>100</v>
      </c>
      <c r="F102" s="80">
        <f t="shared" si="51"/>
        <v>100</v>
      </c>
      <c r="G102" s="120">
        <f t="shared" ref="G102:P102" si="52">F102*(1+$D$64)</f>
        <v>105</v>
      </c>
      <c r="H102" s="120">
        <f t="shared" si="52"/>
        <v>110.25</v>
      </c>
      <c r="I102" s="120">
        <f t="shared" si="52"/>
        <v>115.7625</v>
      </c>
      <c r="J102" s="120">
        <f t="shared" si="52"/>
        <v>121.55062500000001</v>
      </c>
      <c r="K102" s="120">
        <f t="shared" si="52"/>
        <v>127.62815625000002</v>
      </c>
      <c r="L102" s="120">
        <f t="shared" si="52"/>
        <v>134.00956406250003</v>
      </c>
      <c r="M102" s="120">
        <f t="shared" si="52"/>
        <v>140.71004226562505</v>
      </c>
      <c r="N102" s="120">
        <f t="shared" si="52"/>
        <v>147.74554437890632</v>
      </c>
      <c r="O102" s="120">
        <f t="shared" si="52"/>
        <v>155.13282159785163</v>
      </c>
      <c r="P102" s="124">
        <f t="shared" si="52"/>
        <v>162.88946267774421</v>
      </c>
      <c r="Q102" s="50"/>
      <c r="R102" s="50"/>
      <c r="S102" s="50"/>
      <c r="T102" s="50"/>
      <c r="U102" s="50"/>
      <c r="V102" s="50"/>
      <c r="W102" s="50"/>
      <c r="X102" s="50"/>
      <c r="Y102" s="50"/>
      <c r="Z102" s="50"/>
    </row>
    <row r="103" spans="1:26" ht="15.75" customHeight="1" x14ac:dyDescent="0.35">
      <c r="A103" s="50"/>
      <c r="B103" s="53" t="s">
        <v>167</v>
      </c>
      <c r="C103" s="116" t="s">
        <v>94</v>
      </c>
      <c r="D103" s="80">
        <f t="shared" ref="D103:F103" si="53">D27</f>
        <v>100</v>
      </c>
      <c r="E103" s="80">
        <f t="shared" si="53"/>
        <v>100</v>
      </c>
      <c r="F103" s="80">
        <f t="shared" si="53"/>
        <v>100</v>
      </c>
      <c r="G103" s="120">
        <f t="shared" ref="G103:P103" si="54">F103*(1+$D$64)</f>
        <v>105</v>
      </c>
      <c r="H103" s="120">
        <f t="shared" si="54"/>
        <v>110.25</v>
      </c>
      <c r="I103" s="120">
        <f t="shared" si="54"/>
        <v>115.7625</v>
      </c>
      <c r="J103" s="120">
        <f t="shared" si="54"/>
        <v>121.55062500000001</v>
      </c>
      <c r="K103" s="120">
        <f t="shared" si="54"/>
        <v>127.62815625000002</v>
      </c>
      <c r="L103" s="120">
        <f t="shared" si="54"/>
        <v>134.00956406250003</v>
      </c>
      <c r="M103" s="120">
        <f t="shared" si="54"/>
        <v>140.71004226562505</v>
      </c>
      <c r="N103" s="120">
        <f t="shared" si="54"/>
        <v>147.74554437890632</v>
      </c>
      <c r="O103" s="120">
        <f t="shared" si="54"/>
        <v>155.13282159785163</v>
      </c>
      <c r="P103" s="124">
        <f t="shared" si="54"/>
        <v>162.88946267774421</v>
      </c>
      <c r="Q103" s="50"/>
      <c r="R103" s="50"/>
      <c r="S103" s="50"/>
      <c r="T103" s="50"/>
      <c r="U103" s="50"/>
      <c r="V103" s="50"/>
      <c r="W103" s="50"/>
      <c r="X103" s="50"/>
      <c r="Y103" s="50"/>
      <c r="Z103" s="50"/>
    </row>
    <row r="104" spans="1:26" ht="15.75" customHeight="1" x14ac:dyDescent="0.35">
      <c r="A104" s="50"/>
      <c r="B104" s="53" t="s">
        <v>169</v>
      </c>
      <c r="C104" s="116" t="s">
        <v>94</v>
      </c>
      <c r="D104" s="80">
        <f t="shared" ref="D104:F104" si="55">D28</f>
        <v>100</v>
      </c>
      <c r="E104" s="80">
        <f t="shared" si="55"/>
        <v>100</v>
      </c>
      <c r="F104" s="80">
        <f t="shared" si="55"/>
        <v>100</v>
      </c>
      <c r="G104" s="120">
        <f t="shared" ref="G104:P104" si="56">F104*(1+$D$64)</f>
        <v>105</v>
      </c>
      <c r="H104" s="120">
        <f t="shared" si="56"/>
        <v>110.25</v>
      </c>
      <c r="I104" s="120">
        <f t="shared" si="56"/>
        <v>115.7625</v>
      </c>
      <c r="J104" s="120">
        <f t="shared" si="56"/>
        <v>121.55062500000001</v>
      </c>
      <c r="K104" s="120">
        <f t="shared" si="56"/>
        <v>127.62815625000002</v>
      </c>
      <c r="L104" s="120">
        <f t="shared" si="56"/>
        <v>134.00956406250003</v>
      </c>
      <c r="M104" s="120">
        <f t="shared" si="56"/>
        <v>140.71004226562505</v>
      </c>
      <c r="N104" s="120">
        <f t="shared" si="56"/>
        <v>147.74554437890632</v>
      </c>
      <c r="O104" s="120">
        <f t="shared" si="56"/>
        <v>155.13282159785163</v>
      </c>
      <c r="P104" s="124">
        <f t="shared" si="56"/>
        <v>162.88946267774421</v>
      </c>
      <c r="Q104" s="50"/>
      <c r="R104" s="50"/>
      <c r="S104" s="50"/>
      <c r="T104" s="50"/>
      <c r="U104" s="50"/>
      <c r="V104" s="50"/>
      <c r="W104" s="50"/>
      <c r="X104" s="50"/>
      <c r="Y104" s="50"/>
      <c r="Z104" s="50"/>
    </row>
    <row r="105" spans="1:26" ht="15.75" customHeight="1" x14ac:dyDescent="0.35">
      <c r="A105" s="50"/>
      <c r="B105" s="53" t="s">
        <v>170</v>
      </c>
      <c r="C105" s="116" t="s">
        <v>94</v>
      </c>
      <c r="D105" s="80">
        <f t="shared" ref="D105:F105" si="57">D29</f>
        <v>100</v>
      </c>
      <c r="E105" s="80">
        <f t="shared" si="57"/>
        <v>100</v>
      </c>
      <c r="F105" s="80">
        <f t="shared" si="57"/>
        <v>100</v>
      </c>
      <c r="G105" s="120">
        <f t="shared" ref="G105:P105" si="58">F105*(1+$D$64)</f>
        <v>105</v>
      </c>
      <c r="H105" s="120">
        <f t="shared" si="58"/>
        <v>110.25</v>
      </c>
      <c r="I105" s="120">
        <f t="shared" si="58"/>
        <v>115.7625</v>
      </c>
      <c r="J105" s="120">
        <f t="shared" si="58"/>
        <v>121.55062500000001</v>
      </c>
      <c r="K105" s="120">
        <f t="shared" si="58"/>
        <v>127.62815625000002</v>
      </c>
      <c r="L105" s="120">
        <f t="shared" si="58"/>
        <v>134.00956406250003</v>
      </c>
      <c r="M105" s="120">
        <f t="shared" si="58"/>
        <v>140.71004226562505</v>
      </c>
      <c r="N105" s="120">
        <f t="shared" si="58"/>
        <v>147.74554437890632</v>
      </c>
      <c r="O105" s="120">
        <f t="shared" si="58"/>
        <v>155.13282159785163</v>
      </c>
      <c r="P105" s="124">
        <f t="shared" si="58"/>
        <v>162.88946267774421</v>
      </c>
      <c r="Q105" s="50"/>
      <c r="R105" s="50"/>
      <c r="S105" s="50"/>
      <c r="T105" s="50"/>
      <c r="U105" s="50"/>
      <c r="V105" s="50"/>
      <c r="W105" s="50"/>
      <c r="X105" s="50"/>
      <c r="Y105" s="50"/>
      <c r="Z105" s="50"/>
    </row>
    <row r="106" spans="1:26" ht="15.75" customHeight="1" x14ac:dyDescent="0.35">
      <c r="A106" s="50"/>
      <c r="B106" s="53" t="s">
        <v>171</v>
      </c>
      <c r="C106" s="116" t="s">
        <v>94</v>
      </c>
      <c r="D106" s="80">
        <f t="shared" ref="D106:F106" si="59">D30</f>
        <v>100</v>
      </c>
      <c r="E106" s="80">
        <f t="shared" si="59"/>
        <v>100</v>
      </c>
      <c r="F106" s="80">
        <f t="shared" si="59"/>
        <v>100</v>
      </c>
      <c r="G106" s="120">
        <f t="shared" ref="G106:P106" si="60">F106*(1+$D$64)</f>
        <v>105</v>
      </c>
      <c r="H106" s="120">
        <f t="shared" si="60"/>
        <v>110.25</v>
      </c>
      <c r="I106" s="120">
        <f t="shared" si="60"/>
        <v>115.7625</v>
      </c>
      <c r="J106" s="120">
        <f t="shared" si="60"/>
        <v>121.55062500000001</v>
      </c>
      <c r="K106" s="120">
        <f t="shared" si="60"/>
        <v>127.62815625000002</v>
      </c>
      <c r="L106" s="120">
        <f t="shared" si="60"/>
        <v>134.00956406250003</v>
      </c>
      <c r="M106" s="120">
        <f t="shared" si="60"/>
        <v>140.71004226562505</v>
      </c>
      <c r="N106" s="120">
        <f t="shared" si="60"/>
        <v>147.74554437890632</v>
      </c>
      <c r="O106" s="120">
        <f t="shared" si="60"/>
        <v>155.13282159785163</v>
      </c>
      <c r="P106" s="124">
        <f t="shared" si="60"/>
        <v>162.88946267774421</v>
      </c>
      <c r="Q106" s="50"/>
      <c r="R106" s="50"/>
      <c r="S106" s="50"/>
      <c r="T106" s="50"/>
      <c r="U106" s="50"/>
      <c r="V106" s="50"/>
      <c r="W106" s="50"/>
      <c r="X106" s="50"/>
      <c r="Y106" s="50"/>
      <c r="Z106" s="50"/>
    </row>
    <row r="107" spans="1:26" ht="15.75" customHeight="1" x14ac:dyDescent="0.35">
      <c r="A107" s="50"/>
      <c r="B107" s="53" t="s">
        <v>172</v>
      </c>
      <c r="C107" s="116" t="s">
        <v>94</v>
      </c>
      <c r="D107" s="80">
        <f t="shared" ref="D107:F107" si="61">D31</f>
        <v>100</v>
      </c>
      <c r="E107" s="80">
        <f t="shared" si="61"/>
        <v>100</v>
      </c>
      <c r="F107" s="80">
        <f t="shared" si="61"/>
        <v>100</v>
      </c>
      <c r="G107" s="120">
        <f t="shared" ref="G107:P107" si="62">F107*(1+$D$64)</f>
        <v>105</v>
      </c>
      <c r="H107" s="120">
        <f t="shared" si="62"/>
        <v>110.25</v>
      </c>
      <c r="I107" s="120">
        <f t="shared" si="62"/>
        <v>115.7625</v>
      </c>
      <c r="J107" s="120">
        <f t="shared" si="62"/>
        <v>121.55062500000001</v>
      </c>
      <c r="K107" s="120">
        <f t="shared" si="62"/>
        <v>127.62815625000002</v>
      </c>
      <c r="L107" s="120">
        <f t="shared" si="62"/>
        <v>134.00956406250003</v>
      </c>
      <c r="M107" s="120">
        <f t="shared" si="62"/>
        <v>140.71004226562505</v>
      </c>
      <c r="N107" s="120">
        <f t="shared" si="62"/>
        <v>147.74554437890632</v>
      </c>
      <c r="O107" s="120">
        <f t="shared" si="62"/>
        <v>155.13282159785163</v>
      </c>
      <c r="P107" s="124">
        <f t="shared" si="62"/>
        <v>162.88946267774421</v>
      </c>
      <c r="Q107" s="50"/>
      <c r="R107" s="50"/>
      <c r="S107" s="50"/>
      <c r="T107" s="50"/>
      <c r="U107" s="50"/>
      <c r="V107" s="50"/>
      <c r="W107" s="50"/>
      <c r="X107" s="50"/>
      <c r="Y107" s="50"/>
      <c r="Z107" s="50"/>
    </row>
    <row r="108" spans="1:26" ht="15.75" customHeight="1" x14ac:dyDescent="0.35">
      <c r="A108" s="50"/>
      <c r="B108" s="53" t="s">
        <v>173</v>
      </c>
      <c r="C108" s="116" t="s">
        <v>94</v>
      </c>
      <c r="D108" s="80">
        <f t="shared" ref="D108:F108" si="63">D32</f>
        <v>100</v>
      </c>
      <c r="E108" s="80">
        <f t="shared" si="63"/>
        <v>100</v>
      </c>
      <c r="F108" s="80">
        <f t="shared" si="63"/>
        <v>100</v>
      </c>
      <c r="G108" s="120">
        <f t="shared" ref="G108:P108" si="64">F108*(1+$D$64)</f>
        <v>105</v>
      </c>
      <c r="H108" s="120">
        <f t="shared" si="64"/>
        <v>110.25</v>
      </c>
      <c r="I108" s="120">
        <f t="shared" si="64"/>
        <v>115.7625</v>
      </c>
      <c r="J108" s="120">
        <f t="shared" si="64"/>
        <v>121.55062500000001</v>
      </c>
      <c r="K108" s="120">
        <f t="shared" si="64"/>
        <v>127.62815625000002</v>
      </c>
      <c r="L108" s="120">
        <f t="shared" si="64"/>
        <v>134.00956406250003</v>
      </c>
      <c r="M108" s="120">
        <f t="shared" si="64"/>
        <v>140.71004226562505</v>
      </c>
      <c r="N108" s="120">
        <f t="shared" si="64"/>
        <v>147.74554437890632</v>
      </c>
      <c r="O108" s="120">
        <f t="shared" si="64"/>
        <v>155.13282159785163</v>
      </c>
      <c r="P108" s="124">
        <f t="shared" si="64"/>
        <v>162.88946267774421</v>
      </c>
      <c r="Q108" s="50"/>
      <c r="R108" s="50"/>
      <c r="S108" s="50"/>
      <c r="T108" s="50"/>
      <c r="U108" s="50"/>
      <c r="V108" s="50"/>
      <c r="W108" s="50"/>
      <c r="X108" s="50"/>
      <c r="Y108" s="50"/>
      <c r="Z108" s="50"/>
    </row>
    <row r="109" spans="1:26" ht="15.75" customHeight="1" x14ac:dyDescent="0.35">
      <c r="A109" s="50"/>
      <c r="B109" s="53" t="s">
        <v>174</v>
      </c>
      <c r="C109" s="116" t="s">
        <v>94</v>
      </c>
      <c r="D109" s="80">
        <f t="shared" ref="D109:F109" si="65">D33</f>
        <v>100</v>
      </c>
      <c r="E109" s="80">
        <f t="shared" si="65"/>
        <v>100</v>
      </c>
      <c r="F109" s="80">
        <f t="shared" si="65"/>
        <v>100</v>
      </c>
      <c r="G109" s="120">
        <f t="shared" ref="G109:P109" si="66">F109*(1+$D$64)</f>
        <v>105</v>
      </c>
      <c r="H109" s="120">
        <f t="shared" si="66"/>
        <v>110.25</v>
      </c>
      <c r="I109" s="120">
        <f t="shared" si="66"/>
        <v>115.7625</v>
      </c>
      <c r="J109" s="120">
        <f t="shared" si="66"/>
        <v>121.55062500000001</v>
      </c>
      <c r="K109" s="120">
        <f t="shared" si="66"/>
        <v>127.62815625000002</v>
      </c>
      <c r="L109" s="120">
        <f t="shared" si="66"/>
        <v>134.00956406250003</v>
      </c>
      <c r="M109" s="120">
        <f t="shared" si="66"/>
        <v>140.71004226562505</v>
      </c>
      <c r="N109" s="120">
        <f t="shared" si="66"/>
        <v>147.74554437890632</v>
      </c>
      <c r="O109" s="120">
        <f t="shared" si="66"/>
        <v>155.13282159785163</v>
      </c>
      <c r="P109" s="124">
        <f t="shared" si="66"/>
        <v>162.88946267774421</v>
      </c>
      <c r="Q109" s="50"/>
      <c r="R109" s="50"/>
      <c r="S109" s="50"/>
      <c r="T109" s="50"/>
      <c r="U109" s="50"/>
      <c r="V109" s="50"/>
      <c r="W109" s="50"/>
      <c r="X109" s="50"/>
      <c r="Y109" s="50"/>
      <c r="Z109" s="50"/>
    </row>
    <row r="110" spans="1:26" ht="15.75" customHeight="1" x14ac:dyDescent="0.35">
      <c r="A110" s="50"/>
      <c r="B110" s="53" t="s">
        <v>175</v>
      </c>
      <c r="C110" s="116" t="s">
        <v>94</v>
      </c>
      <c r="D110" s="80">
        <f t="shared" ref="D110:F110" si="67">D34</f>
        <v>100</v>
      </c>
      <c r="E110" s="80">
        <f t="shared" si="67"/>
        <v>100</v>
      </c>
      <c r="F110" s="80">
        <f t="shared" si="67"/>
        <v>100</v>
      </c>
      <c r="G110" s="120">
        <f t="shared" ref="G110:P110" si="68">F110*(1+$D$64)</f>
        <v>105</v>
      </c>
      <c r="H110" s="120">
        <f t="shared" si="68"/>
        <v>110.25</v>
      </c>
      <c r="I110" s="120">
        <f t="shared" si="68"/>
        <v>115.7625</v>
      </c>
      <c r="J110" s="120">
        <f t="shared" si="68"/>
        <v>121.55062500000001</v>
      </c>
      <c r="K110" s="120">
        <f t="shared" si="68"/>
        <v>127.62815625000002</v>
      </c>
      <c r="L110" s="120">
        <f t="shared" si="68"/>
        <v>134.00956406250003</v>
      </c>
      <c r="M110" s="120">
        <f t="shared" si="68"/>
        <v>140.71004226562505</v>
      </c>
      <c r="N110" s="120">
        <f t="shared" si="68"/>
        <v>147.74554437890632</v>
      </c>
      <c r="O110" s="120">
        <f t="shared" si="68"/>
        <v>155.13282159785163</v>
      </c>
      <c r="P110" s="124">
        <f t="shared" si="68"/>
        <v>162.88946267774421</v>
      </c>
      <c r="Q110" s="50"/>
      <c r="R110" s="50"/>
      <c r="S110" s="50"/>
      <c r="T110" s="50"/>
      <c r="U110" s="50"/>
      <c r="V110" s="50"/>
      <c r="W110" s="50"/>
      <c r="X110" s="50"/>
      <c r="Y110" s="50"/>
      <c r="Z110" s="50"/>
    </row>
    <row r="111" spans="1:26" ht="15.75" customHeight="1" x14ac:dyDescent="0.35">
      <c r="A111" s="50"/>
      <c r="B111" s="53" t="s">
        <v>176</v>
      </c>
      <c r="C111" s="116" t="s">
        <v>94</v>
      </c>
      <c r="D111" s="80">
        <f t="shared" ref="D111:F111" si="69">D35</f>
        <v>100</v>
      </c>
      <c r="E111" s="80">
        <f t="shared" si="69"/>
        <v>100</v>
      </c>
      <c r="F111" s="80">
        <f t="shared" si="69"/>
        <v>100</v>
      </c>
      <c r="G111" s="120">
        <f t="shared" ref="G111:P111" si="70">F111*(1+$D$64)</f>
        <v>105</v>
      </c>
      <c r="H111" s="120">
        <f t="shared" si="70"/>
        <v>110.25</v>
      </c>
      <c r="I111" s="120">
        <f t="shared" si="70"/>
        <v>115.7625</v>
      </c>
      <c r="J111" s="120">
        <f t="shared" si="70"/>
        <v>121.55062500000001</v>
      </c>
      <c r="K111" s="120">
        <f t="shared" si="70"/>
        <v>127.62815625000002</v>
      </c>
      <c r="L111" s="120">
        <f t="shared" si="70"/>
        <v>134.00956406250003</v>
      </c>
      <c r="M111" s="120">
        <f t="shared" si="70"/>
        <v>140.71004226562505</v>
      </c>
      <c r="N111" s="120">
        <f t="shared" si="70"/>
        <v>147.74554437890632</v>
      </c>
      <c r="O111" s="120">
        <f t="shared" si="70"/>
        <v>155.13282159785163</v>
      </c>
      <c r="P111" s="124">
        <f t="shared" si="70"/>
        <v>162.88946267774421</v>
      </c>
      <c r="Q111" s="50"/>
      <c r="R111" s="50"/>
      <c r="S111" s="50"/>
      <c r="T111" s="50"/>
      <c r="U111" s="50"/>
      <c r="V111" s="50"/>
      <c r="W111" s="50"/>
      <c r="X111" s="50"/>
      <c r="Y111" s="50"/>
      <c r="Z111" s="50"/>
    </row>
    <row r="112" spans="1:26" ht="15.75" customHeight="1" x14ac:dyDescent="0.35">
      <c r="A112" s="32"/>
      <c r="B112" s="58" t="s">
        <v>65</v>
      </c>
      <c r="C112" s="116" t="s">
        <v>94</v>
      </c>
      <c r="D112" s="118">
        <f t="shared" ref="D112:P112" si="71">SUM(D101:D111)</f>
        <v>1100</v>
      </c>
      <c r="E112" s="118">
        <f t="shared" si="71"/>
        <v>1100</v>
      </c>
      <c r="F112" s="118">
        <f t="shared" si="71"/>
        <v>1100</v>
      </c>
      <c r="G112" s="118">
        <f t="shared" si="71"/>
        <v>1155</v>
      </c>
      <c r="H112" s="118">
        <f t="shared" si="71"/>
        <v>1212.75</v>
      </c>
      <c r="I112" s="118">
        <f t="shared" si="71"/>
        <v>1273.3875000000003</v>
      </c>
      <c r="J112" s="118">
        <f t="shared" si="71"/>
        <v>1337.0568750000002</v>
      </c>
      <c r="K112" s="118">
        <f t="shared" si="71"/>
        <v>1403.9097187500006</v>
      </c>
      <c r="L112" s="118">
        <f t="shared" si="71"/>
        <v>1474.1052046875</v>
      </c>
      <c r="M112" s="118">
        <f t="shared" si="71"/>
        <v>1547.8104649218758</v>
      </c>
      <c r="N112" s="118">
        <f t="shared" si="71"/>
        <v>1625.2009881679694</v>
      </c>
      <c r="O112" s="118">
        <f t="shared" si="71"/>
        <v>1706.4610375763682</v>
      </c>
      <c r="P112" s="119">
        <f t="shared" si="71"/>
        <v>1791.7840894551862</v>
      </c>
      <c r="Q112" s="32"/>
      <c r="R112" s="32"/>
      <c r="S112" s="32"/>
      <c r="T112" s="32"/>
      <c r="U112" s="32"/>
      <c r="V112" s="32"/>
      <c r="W112" s="32"/>
      <c r="X112" s="32"/>
      <c r="Y112" s="32"/>
      <c r="Z112" s="32"/>
    </row>
    <row r="113" spans="1:26" ht="15.75" customHeight="1" x14ac:dyDescent="0.35">
      <c r="A113" s="50"/>
      <c r="B113" s="62" t="s">
        <v>134</v>
      </c>
      <c r="C113" s="65"/>
      <c r="D113" s="123"/>
      <c r="E113" s="123"/>
      <c r="F113" s="123"/>
      <c r="G113" s="50"/>
      <c r="H113" s="50"/>
      <c r="I113" s="50"/>
      <c r="J113" s="50"/>
      <c r="K113" s="50"/>
      <c r="L113" s="50"/>
      <c r="M113" s="50"/>
      <c r="N113" s="50"/>
      <c r="O113" s="50"/>
      <c r="P113" s="115"/>
      <c r="Q113" s="50"/>
      <c r="R113" s="50"/>
      <c r="S113" s="50"/>
      <c r="T113" s="50"/>
      <c r="U113" s="50"/>
      <c r="V113" s="50"/>
      <c r="W113" s="50"/>
      <c r="X113" s="50"/>
      <c r="Y113" s="50"/>
      <c r="Z113" s="50"/>
    </row>
    <row r="114" spans="1:26" ht="15.75" customHeight="1" x14ac:dyDescent="0.35">
      <c r="A114" s="50"/>
      <c r="B114" s="53" t="s">
        <v>165</v>
      </c>
      <c r="C114" s="65"/>
      <c r="D114" s="121">
        <f t="shared" ref="D114:F114" si="72">D50</f>
        <v>50</v>
      </c>
      <c r="E114" s="121">
        <f t="shared" si="72"/>
        <v>50</v>
      </c>
      <c r="F114" s="121">
        <f t="shared" si="72"/>
        <v>50</v>
      </c>
      <c r="G114" s="64">
        <f t="shared" ref="G114:P114" si="73">IFERROR(F114*(1+$D$69),"")</f>
        <v>50.5</v>
      </c>
      <c r="H114" s="64">
        <f t="shared" si="73"/>
        <v>51.005000000000003</v>
      </c>
      <c r="I114" s="64">
        <f t="shared" si="73"/>
        <v>51.515050000000002</v>
      </c>
      <c r="J114" s="64">
        <f t="shared" si="73"/>
        <v>52.030200499999999</v>
      </c>
      <c r="K114" s="64">
        <f t="shared" si="73"/>
        <v>52.550502504999997</v>
      </c>
      <c r="L114" s="64">
        <f t="shared" si="73"/>
        <v>53.076007530049999</v>
      </c>
      <c r="M114" s="64">
        <f t="shared" si="73"/>
        <v>53.606767605350498</v>
      </c>
      <c r="N114" s="64">
        <f t="shared" si="73"/>
        <v>54.142835281404004</v>
      </c>
      <c r="O114" s="64">
        <f t="shared" si="73"/>
        <v>54.684263634218041</v>
      </c>
      <c r="P114" s="122">
        <f t="shared" si="73"/>
        <v>55.231106270560225</v>
      </c>
      <c r="Q114" s="50"/>
      <c r="R114" s="50"/>
      <c r="S114" s="50"/>
      <c r="T114" s="50"/>
      <c r="U114" s="50"/>
      <c r="V114" s="50"/>
      <c r="W114" s="50"/>
      <c r="X114" s="50"/>
      <c r="Y114" s="50"/>
      <c r="Z114" s="50"/>
    </row>
    <row r="115" spans="1:26" ht="15.75" customHeight="1" x14ac:dyDescent="0.35">
      <c r="A115" s="50"/>
      <c r="B115" s="53" t="s">
        <v>166</v>
      </c>
      <c r="C115" s="65"/>
      <c r="D115" s="121">
        <f t="shared" ref="D115:F115" si="74">D51</f>
        <v>50</v>
      </c>
      <c r="E115" s="121">
        <f t="shared" si="74"/>
        <v>50</v>
      </c>
      <c r="F115" s="121">
        <f t="shared" si="74"/>
        <v>50</v>
      </c>
      <c r="G115" s="64">
        <f t="shared" ref="G115:P115" si="75">IFERROR(F115*(1+$D$69),"")</f>
        <v>50.5</v>
      </c>
      <c r="H115" s="64">
        <f t="shared" si="75"/>
        <v>51.005000000000003</v>
      </c>
      <c r="I115" s="64">
        <f t="shared" si="75"/>
        <v>51.515050000000002</v>
      </c>
      <c r="J115" s="64">
        <f t="shared" si="75"/>
        <v>52.030200499999999</v>
      </c>
      <c r="K115" s="64">
        <f t="shared" si="75"/>
        <v>52.550502504999997</v>
      </c>
      <c r="L115" s="64">
        <f t="shared" si="75"/>
        <v>53.076007530049999</v>
      </c>
      <c r="M115" s="64">
        <f t="shared" si="75"/>
        <v>53.606767605350498</v>
      </c>
      <c r="N115" s="64">
        <f t="shared" si="75"/>
        <v>54.142835281404004</v>
      </c>
      <c r="O115" s="64">
        <f t="shared" si="75"/>
        <v>54.684263634218041</v>
      </c>
      <c r="P115" s="122">
        <f t="shared" si="75"/>
        <v>55.231106270560225</v>
      </c>
      <c r="Q115" s="50"/>
      <c r="R115" s="50"/>
      <c r="S115" s="50"/>
      <c r="T115" s="50"/>
      <c r="U115" s="50"/>
      <c r="V115" s="50"/>
      <c r="W115" s="50"/>
      <c r="X115" s="50"/>
      <c r="Y115" s="50"/>
      <c r="Z115" s="50"/>
    </row>
    <row r="116" spans="1:26" ht="15.75" customHeight="1" x14ac:dyDescent="0.35">
      <c r="A116" s="50"/>
      <c r="B116" s="53" t="s">
        <v>167</v>
      </c>
      <c r="C116" s="65"/>
      <c r="D116" s="121">
        <f t="shared" ref="D116:F116" si="76">D52</f>
        <v>50</v>
      </c>
      <c r="E116" s="121">
        <f t="shared" si="76"/>
        <v>50</v>
      </c>
      <c r="F116" s="121">
        <f t="shared" si="76"/>
        <v>50</v>
      </c>
      <c r="G116" s="64">
        <f t="shared" ref="G116:P116" si="77">IFERROR(F116*(1+$D$69),"")</f>
        <v>50.5</v>
      </c>
      <c r="H116" s="64">
        <f t="shared" si="77"/>
        <v>51.005000000000003</v>
      </c>
      <c r="I116" s="64">
        <f t="shared" si="77"/>
        <v>51.515050000000002</v>
      </c>
      <c r="J116" s="64">
        <f t="shared" si="77"/>
        <v>52.030200499999999</v>
      </c>
      <c r="K116" s="64">
        <f t="shared" si="77"/>
        <v>52.550502504999997</v>
      </c>
      <c r="L116" s="64">
        <f t="shared" si="77"/>
        <v>53.076007530049999</v>
      </c>
      <c r="M116" s="64">
        <f t="shared" si="77"/>
        <v>53.606767605350498</v>
      </c>
      <c r="N116" s="64">
        <f t="shared" si="77"/>
        <v>54.142835281404004</v>
      </c>
      <c r="O116" s="64">
        <f t="shared" si="77"/>
        <v>54.684263634218041</v>
      </c>
      <c r="P116" s="122">
        <f t="shared" si="77"/>
        <v>55.231106270560225</v>
      </c>
      <c r="Q116" s="50"/>
      <c r="R116" s="50"/>
      <c r="S116" s="50"/>
      <c r="T116" s="50"/>
      <c r="U116" s="50"/>
      <c r="V116" s="50"/>
      <c r="W116" s="50"/>
      <c r="X116" s="50"/>
      <c r="Y116" s="50"/>
      <c r="Z116" s="50"/>
    </row>
    <row r="117" spans="1:26" ht="15.75" customHeight="1" x14ac:dyDescent="0.35">
      <c r="A117" s="50"/>
      <c r="B117" s="53" t="s">
        <v>169</v>
      </c>
      <c r="C117" s="65"/>
      <c r="D117" s="121">
        <f t="shared" ref="D117:F117" si="78">D53</f>
        <v>50</v>
      </c>
      <c r="E117" s="121">
        <f t="shared" si="78"/>
        <v>50</v>
      </c>
      <c r="F117" s="121">
        <f t="shared" si="78"/>
        <v>50</v>
      </c>
      <c r="G117" s="64">
        <f t="shared" ref="G117:P117" si="79">IFERROR(F117*(1+$D$69),"")</f>
        <v>50.5</v>
      </c>
      <c r="H117" s="64">
        <f t="shared" si="79"/>
        <v>51.005000000000003</v>
      </c>
      <c r="I117" s="64">
        <f t="shared" si="79"/>
        <v>51.515050000000002</v>
      </c>
      <c r="J117" s="64">
        <f t="shared" si="79"/>
        <v>52.030200499999999</v>
      </c>
      <c r="K117" s="64">
        <f t="shared" si="79"/>
        <v>52.550502504999997</v>
      </c>
      <c r="L117" s="64">
        <f t="shared" si="79"/>
        <v>53.076007530049999</v>
      </c>
      <c r="M117" s="64">
        <f t="shared" si="79"/>
        <v>53.606767605350498</v>
      </c>
      <c r="N117" s="64">
        <f t="shared" si="79"/>
        <v>54.142835281404004</v>
      </c>
      <c r="O117" s="64">
        <f t="shared" si="79"/>
        <v>54.684263634218041</v>
      </c>
      <c r="P117" s="122">
        <f t="shared" si="79"/>
        <v>55.231106270560225</v>
      </c>
      <c r="Q117" s="50"/>
      <c r="R117" s="50"/>
      <c r="S117" s="50"/>
      <c r="T117" s="50"/>
      <c r="U117" s="50"/>
      <c r="V117" s="50"/>
      <c r="W117" s="50"/>
      <c r="X117" s="50"/>
      <c r="Y117" s="50"/>
      <c r="Z117" s="50"/>
    </row>
    <row r="118" spans="1:26" ht="15.75" customHeight="1" x14ac:dyDescent="0.35">
      <c r="A118" s="50"/>
      <c r="B118" s="53" t="s">
        <v>170</v>
      </c>
      <c r="C118" s="65"/>
      <c r="D118" s="121">
        <f t="shared" ref="D118:F118" si="80">D54</f>
        <v>50</v>
      </c>
      <c r="E118" s="121">
        <f t="shared" si="80"/>
        <v>50</v>
      </c>
      <c r="F118" s="121">
        <f t="shared" si="80"/>
        <v>50</v>
      </c>
      <c r="G118" s="64">
        <f t="shared" ref="G118:P118" si="81">IFERROR(F118*(1+$D$69),"")</f>
        <v>50.5</v>
      </c>
      <c r="H118" s="64">
        <f t="shared" si="81"/>
        <v>51.005000000000003</v>
      </c>
      <c r="I118" s="64">
        <f t="shared" si="81"/>
        <v>51.515050000000002</v>
      </c>
      <c r="J118" s="64">
        <f t="shared" si="81"/>
        <v>52.030200499999999</v>
      </c>
      <c r="K118" s="64">
        <f t="shared" si="81"/>
        <v>52.550502504999997</v>
      </c>
      <c r="L118" s="64">
        <f t="shared" si="81"/>
        <v>53.076007530049999</v>
      </c>
      <c r="M118" s="64">
        <f t="shared" si="81"/>
        <v>53.606767605350498</v>
      </c>
      <c r="N118" s="64">
        <f t="shared" si="81"/>
        <v>54.142835281404004</v>
      </c>
      <c r="O118" s="64">
        <f t="shared" si="81"/>
        <v>54.684263634218041</v>
      </c>
      <c r="P118" s="122">
        <f t="shared" si="81"/>
        <v>55.231106270560225</v>
      </c>
      <c r="Q118" s="50"/>
      <c r="R118" s="50"/>
      <c r="S118" s="50"/>
      <c r="T118" s="50"/>
      <c r="U118" s="50"/>
      <c r="V118" s="50"/>
      <c r="W118" s="50"/>
      <c r="X118" s="50"/>
      <c r="Y118" s="50"/>
      <c r="Z118" s="50"/>
    </row>
    <row r="119" spans="1:26" ht="15.75" customHeight="1" x14ac:dyDescent="0.35">
      <c r="A119" s="50"/>
      <c r="B119" s="53" t="s">
        <v>171</v>
      </c>
      <c r="C119" s="65"/>
      <c r="D119" s="121">
        <f t="shared" ref="D119:F119" si="82">D55</f>
        <v>50</v>
      </c>
      <c r="E119" s="121">
        <f t="shared" si="82"/>
        <v>50</v>
      </c>
      <c r="F119" s="121">
        <f t="shared" si="82"/>
        <v>50</v>
      </c>
      <c r="G119" s="64">
        <f t="shared" ref="G119:P119" si="83">IFERROR(F119*(1+$D$69),"")</f>
        <v>50.5</v>
      </c>
      <c r="H119" s="64">
        <f t="shared" si="83"/>
        <v>51.005000000000003</v>
      </c>
      <c r="I119" s="64">
        <f t="shared" si="83"/>
        <v>51.515050000000002</v>
      </c>
      <c r="J119" s="64">
        <f t="shared" si="83"/>
        <v>52.030200499999999</v>
      </c>
      <c r="K119" s="64">
        <f t="shared" si="83"/>
        <v>52.550502504999997</v>
      </c>
      <c r="L119" s="64">
        <f t="shared" si="83"/>
        <v>53.076007530049999</v>
      </c>
      <c r="M119" s="64">
        <f t="shared" si="83"/>
        <v>53.606767605350498</v>
      </c>
      <c r="N119" s="64">
        <f t="shared" si="83"/>
        <v>54.142835281404004</v>
      </c>
      <c r="O119" s="64">
        <f t="shared" si="83"/>
        <v>54.684263634218041</v>
      </c>
      <c r="P119" s="122">
        <f t="shared" si="83"/>
        <v>55.231106270560225</v>
      </c>
      <c r="Q119" s="50"/>
      <c r="R119" s="50"/>
      <c r="S119" s="50"/>
      <c r="T119" s="50"/>
      <c r="U119" s="50"/>
      <c r="V119" s="50"/>
      <c r="W119" s="50"/>
      <c r="X119" s="50"/>
      <c r="Y119" s="50"/>
      <c r="Z119" s="50"/>
    </row>
    <row r="120" spans="1:26" ht="15.75" customHeight="1" x14ac:dyDescent="0.35">
      <c r="A120" s="50"/>
      <c r="B120" s="53" t="s">
        <v>172</v>
      </c>
      <c r="C120" s="65"/>
      <c r="D120" s="121">
        <f t="shared" ref="D120:F120" si="84">D56</f>
        <v>50</v>
      </c>
      <c r="E120" s="121">
        <f t="shared" si="84"/>
        <v>50</v>
      </c>
      <c r="F120" s="121">
        <f t="shared" si="84"/>
        <v>50</v>
      </c>
      <c r="G120" s="64">
        <f t="shared" ref="G120:P120" si="85">IFERROR(F120*(1+$D$69),"")</f>
        <v>50.5</v>
      </c>
      <c r="H120" s="64">
        <f t="shared" si="85"/>
        <v>51.005000000000003</v>
      </c>
      <c r="I120" s="64">
        <f t="shared" si="85"/>
        <v>51.515050000000002</v>
      </c>
      <c r="J120" s="64">
        <f t="shared" si="85"/>
        <v>52.030200499999999</v>
      </c>
      <c r="K120" s="64">
        <f t="shared" si="85"/>
        <v>52.550502504999997</v>
      </c>
      <c r="L120" s="64">
        <f t="shared" si="85"/>
        <v>53.076007530049999</v>
      </c>
      <c r="M120" s="64">
        <f t="shared" si="85"/>
        <v>53.606767605350498</v>
      </c>
      <c r="N120" s="64">
        <f t="shared" si="85"/>
        <v>54.142835281404004</v>
      </c>
      <c r="O120" s="64">
        <f t="shared" si="85"/>
        <v>54.684263634218041</v>
      </c>
      <c r="P120" s="122">
        <f t="shared" si="85"/>
        <v>55.231106270560225</v>
      </c>
      <c r="Q120" s="50"/>
      <c r="R120" s="50"/>
      <c r="S120" s="50"/>
      <c r="T120" s="50"/>
      <c r="U120" s="50"/>
      <c r="V120" s="50"/>
      <c r="W120" s="50"/>
      <c r="X120" s="50"/>
      <c r="Y120" s="50"/>
      <c r="Z120" s="50"/>
    </row>
    <row r="121" spans="1:26" ht="15.75" customHeight="1" x14ac:dyDescent="0.35">
      <c r="A121" s="50"/>
      <c r="B121" s="53" t="s">
        <v>173</v>
      </c>
      <c r="C121" s="65"/>
      <c r="D121" s="121">
        <f t="shared" ref="D121:F121" si="86">D57</f>
        <v>50</v>
      </c>
      <c r="E121" s="121">
        <f t="shared" si="86"/>
        <v>50</v>
      </c>
      <c r="F121" s="121">
        <f t="shared" si="86"/>
        <v>50</v>
      </c>
      <c r="G121" s="64">
        <f t="shared" ref="G121:P121" si="87">IFERROR(F121*(1+$D$69),"")</f>
        <v>50.5</v>
      </c>
      <c r="H121" s="64">
        <f t="shared" si="87"/>
        <v>51.005000000000003</v>
      </c>
      <c r="I121" s="64">
        <f t="shared" si="87"/>
        <v>51.515050000000002</v>
      </c>
      <c r="J121" s="64">
        <f t="shared" si="87"/>
        <v>52.030200499999999</v>
      </c>
      <c r="K121" s="64">
        <f t="shared" si="87"/>
        <v>52.550502504999997</v>
      </c>
      <c r="L121" s="64">
        <f t="shared" si="87"/>
        <v>53.076007530049999</v>
      </c>
      <c r="M121" s="64">
        <f t="shared" si="87"/>
        <v>53.606767605350498</v>
      </c>
      <c r="N121" s="64">
        <f t="shared" si="87"/>
        <v>54.142835281404004</v>
      </c>
      <c r="O121" s="64">
        <f t="shared" si="87"/>
        <v>54.684263634218041</v>
      </c>
      <c r="P121" s="122">
        <f t="shared" si="87"/>
        <v>55.231106270560225</v>
      </c>
      <c r="Q121" s="50"/>
      <c r="R121" s="50"/>
      <c r="S121" s="50"/>
      <c r="T121" s="50"/>
      <c r="U121" s="50"/>
      <c r="V121" s="50"/>
      <c r="W121" s="50"/>
      <c r="X121" s="50"/>
      <c r="Y121" s="50"/>
      <c r="Z121" s="50"/>
    </row>
    <row r="122" spans="1:26" ht="15.75" customHeight="1" x14ac:dyDescent="0.35">
      <c r="A122" s="50"/>
      <c r="B122" s="53" t="s">
        <v>174</v>
      </c>
      <c r="C122" s="65"/>
      <c r="D122" s="121">
        <f t="shared" ref="D122:F122" si="88">D58</f>
        <v>50</v>
      </c>
      <c r="E122" s="121">
        <f t="shared" si="88"/>
        <v>50</v>
      </c>
      <c r="F122" s="121">
        <f t="shared" si="88"/>
        <v>50</v>
      </c>
      <c r="G122" s="64">
        <f t="shared" ref="G122:P122" si="89">IFERROR(F122*(1+$D$69),"")</f>
        <v>50.5</v>
      </c>
      <c r="H122" s="64">
        <f t="shared" si="89"/>
        <v>51.005000000000003</v>
      </c>
      <c r="I122" s="64">
        <f t="shared" si="89"/>
        <v>51.515050000000002</v>
      </c>
      <c r="J122" s="64">
        <f t="shared" si="89"/>
        <v>52.030200499999999</v>
      </c>
      <c r="K122" s="64">
        <f t="shared" si="89"/>
        <v>52.550502504999997</v>
      </c>
      <c r="L122" s="64">
        <f t="shared" si="89"/>
        <v>53.076007530049999</v>
      </c>
      <c r="M122" s="64">
        <f t="shared" si="89"/>
        <v>53.606767605350498</v>
      </c>
      <c r="N122" s="64">
        <f t="shared" si="89"/>
        <v>54.142835281404004</v>
      </c>
      <c r="O122" s="64">
        <f t="shared" si="89"/>
        <v>54.684263634218041</v>
      </c>
      <c r="P122" s="122">
        <f t="shared" si="89"/>
        <v>55.231106270560225</v>
      </c>
      <c r="Q122" s="50"/>
      <c r="R122" s="50"/>
      <c r="S122" s="50"/>
      <c r="T122" s="50"/>
      <c r="U122" s="50"/>
      <c r="V122" s="50"/>
      <c r="W122" s="50"/>
      <c r="X122" s="50"/>
      <c r="Y122" s="50"/>
      <c r="Z122" s="50"/>
    </row>
    <row r="123" spans="1:26" ht="15.75" customHeight="1" x14ac:dyDescent="0.35">
      <c r="A123" s="50"/>
      <c r="B123" s="53" t="s">
        <v>175</v>
      </c>
      <c r="C123" s="65"/>
      <c r="D123" s="121">
        <f t="shared" ref="D123:F123" si="90">D59</f>
        <v>50</v>
      </c>
      <c r="E123" s="121">
        <f t="shared" si="90"/>
        <v>50</v>
      </c>
      <c r="F123" s="121">
        <f t="shared" si="90"/>
        <v>50</v>
      </c>
      <c r="G123" s="64">
        <f t="shared" ref="G123:P123" si="91">IFERROR(F123*(1+$D$69),"")</f>
        <v>50.5</v>
      </c>
      <c r="H123" s="64">
        <f t="shared" si="91"/>
        <v>51.005000000000003</v>
      </c>
      <c r="I123" s="64">
        <f t="shared" si="91"/>
        <v>51.515050000000002</v>
      </c>
      <c r="J123" s="64">
        <f t="shared" si="91"/>
        <v>52.030200499999999</v>
      </c>
      <c r="K123" s="64">
        <f t="shared" si="91"/>
        <v>52.550502504999997</v>
      </c>
      <c r="L123" s="64">
        <f t="shared" si="91"/>
        <v>53.076007530049999</v>
      </c>
      <c r="M123" s="64">
        <f t="shared" si="91"/>
        <v>53.606767605350498</v>
      </c>
      <c r="N123" s="64">
        <f t="shared" si="91"/>
        <v>54.142835281404004</v>
      </c>
      <c r="O123" s="64">
        <f t="shared" si="91"/>
        <v>54.684263634218041</v>
      </c>
      <c r="P123" s="122">
        <f t="shared" si="91"/>
        <v>55.231106270560225</v>
      </c>
      <c r="Q123" s="50"/>
      <c r="R123" s="50"/>
      <c r="S123" s="50"/>
      <c r="T123" s="50"/>
      <c r="U123" s="50"/>
      <c r="V123" s="50"/>
      <c r="W123" s="50"/>
      <c r="X123" s="50"/>
      <c r="Y123" s="50"/>
      <c r="Z123" s="50"/>
    </row>
    <row r="124" spans="1:26" ht="15.75" customHeight="1" x14ac:dyDescent="0.35">
      <c r="A124" s="50"/>
      <c r="B124" s="53" t="s">
        <v>176</v>
      </c>
      <c r="C124" s="65"/>
      <c r="D124" s="121">
        <f t="shared" ref="D124:F124" si="92">D60</f>
        <v>50</v>
      </c>
      <c r="E124" s="121">
        <f t="shared" si="92"/>
        <v>50</v>
      </c>
      <c r="F124" s="121">
        <f t="shared" si="92"/>
        <v>50</v>
      </c>
      <c r="G124" s="64">
        <f t="shared" ref="G124:P124" si="93">IFERROR(F124*(1+$D$69),"")</f>
        <v>50.5</v>
      </c>
      <c r="H124" s="64">
        <f t="shared" si="93"/>
        <v>51.005000000000003</v>
      </c>
      <c r="I124" s="64">
        <f t="shared" si="93"/>
        <v>51.515050000000002</v>
      </c>
      <c r="J124" s="64">
        <f t="shared" si="93"/>
        <v>52.030200499999999</v>
      </c>
      <c r="K124" s="64">
        <f t="shared" si="93"/>
        <v>52.550502504999997</v>
      </c>
      <c r="L124" s="64">
        <f t="shared" si="93"/>
        <v>53.076007530049999</v>
      </c>
      <c r="M124" s="64">
        <f t="shared" si="93"/>
        <v>53.606767605350498</v>
      </c>
      <c r="N124" s="64">
        <f t="shared" si="93"/>
        <v>54.142835281404004</v>
      </c>
      <c r="O124" s="64">
        <f t="shared" si="93"/>
        <v>54.684263634218041</v>
      </c>
      <c r="P124" s="122">
        <f t="shared" si="93"/>
        <v>55.231106270560225</v>
      </c>
      <c r="Q124" s="50"/>
      <c r="R124" s="50"/>
      <c r="S124" s="50"/>
      <c r="T124" s="50"/>
      <c r="U124" s="50"/>
      <c r="V124" s="50"/>
      <c r="W124" s="50"/>
      <c r="X124" s="50"/>
      <c r="Y124" s="50"/>
      <c r="Z124" s="50"/>
    </row>
    <row r="125" spans="1:26" ht="15.75" customHeight="1" x14ac:dyDescent="0.35">
      <c r="A125" s="50"/>
      <c r="B125" s="62" t="s">
        <v>135</v>
      </c>
      <c r="C125" s="54"/>
      <c r="D125" s="64"/>
      <c r="E125" s="64"/>
      <c r="F125" s="64"/>
      <c r="G125" s="64"/>
      <c r="H125" s="64"/>
      <c r="I125" s="64"/>
      <c r="J125" s="64"/>
      <c r="K125" s="64"/>
      <c r="L125" s="64"/>
      <c r="M125" s="64"/>
      <c r="N125" s="64"/>
      <c r="O125" s="64"/>
      <c r="P125" s="122"/>
      <c r="Q125" s="50"/>
      <c r="R125" s="50"/>
      <c r="S125" s="50"/>
      <c r="T125" s="50"/>
      <c r="U125" s="50"/>
      <c r="V125" s="50"/>
      <c r="W125" s="50"/>
      <c r="X125" s="50"/>
      <c r="Y125" s="50"/>
      <c r="Z125" s="50"/>
    </row>
    <row r="126" spans="1:26" ht="15.75" customHeight="1" x14ac:dyDescent="0.35">
      <c r="A126" s="50"/>
      <c r="B126" s="53" t="s">
        <v>165</v>
      </c>
      <c r="C126" s="54"/>
      <c r="D126" s="64">
        <f t="shared" ref="D126:P126" si="94">IFERROR(D89-D114,"")</f>
        <v>50</v>
      </c>
      <c r="E126" s="64">
        <f t="shared" si="94"/>
        <v>50</v>
      </c>
      <c r="F126" s="64">
        <f t="shared" si="94"/>
        <v>50</v>
      </c>
      <c r="G126" s="64">
        <f t="shared" si="94"/>
        <v>50.5</v>
      </c>
      <c r="H126" s="64">
        <f t="shared" si="94"/>
        <v>51.005000000000003</v>
      </c>
      <c r="I126" s="64">
        <f t="shared" si="94"/>
        <v>51.515050000000002</v>
      </c>
      <c r="J126" s="64">
        <f t="shared" si="94"/>
        <v>52.030200499999999</v>
      </c>
      <c r="K126" s="64">
        <f t="shared" si="94"/>
        <v>52.550502504999997</v>
      </c>
      <c r="L126" s="64">
        <f t="shared" si="94"/>
        <v>53.076007530049999</v>
      </c>
      <c r="M126" s="64">
        <f t="shared" si="94"/>
        <v>53.606767605350498</v>
      </c>
      <c r="N126" s="64">
        <f t="shared" si="94"/>
        <v>54.142835281404004</v>
      </c>
      <c r="O126" s="64">
        <f t="shared" si="94"/>
        <v>54.684263634218041</v>
      </c>
      <c r="P126" s="122">
        <f t="shared" si="94"/>
        <v>55.231106270560225</v>
      </c>
      <c r="Q126" s="50"/>
      <c r="R126" s="50"/>
      <c r="S126" s="50"/>
      <c r="T126" s="50"/>
      <c r="U126" s="50"/>
      <c r="V126" s="50"/>
      <c r="W126" s="50"/>
      <c r="X126" s="50"/>
      <c r="Y126" s="50"/>
      <c r="Z126" s="50"/>
    </row>
    <row r="127" spans="1:26" ht="15.75" customHeight="1" x14ac:dyDescent="0.35">
      <c r="A127" s="50"/>
      <c r="B127" s="53" t="s">
        <v>166</v>
      </c>
      <c r="C127" s="54"/>
      <c r="D127" s="64">
        <f t="shared" ref="D127:P127" si="95">IFERROR(D90-D115,"")</f>
        <v>50</v>
      </c>
      <c r="E127" s="64">
        <f t="shared" si="95"/>
        <v>50</v>
      </c>
      <c r="F127" s="64">
        <f t="shared" si="95"/>
        <v>50</v>
      </c>
      <c r="G127" s="64">
        <f t="shared" si="95"/>
        <v>50.5</v>
      </c>
      <c r="H127" s="64">
        <f t="shared" si="95"/>
        <v>51.005000000000003</v>
      </c>
      <c r="I127" s="64">
        <f t="shared" si="95"/>
        <v>51.515050000000002</v>
      </c>
      <c r="J127" s="64">
        <f t="shared" si="95"/>
        <v>52.030200499999999</v>
      </c>
      <c r="K127" s="64">
        <f t="shared" si="95"/>
        <v>52.550502504999997</v>
      </c>
      <c r="L127" s="64">
        <f t="shared" si="95"/>
        <v>53.076007530049999</v>
      </c>
      <c r="M127" s="64">
        <f t="shared" si="95"/>
        <v>53.606767605350498</v>
      </c>
      <c r="N127" s="64">
        <f t="shared" si="95"/>
        <v>54.142835281404004</v>
      </c>
      <c r="O127" s="64">
        <f t="shared" si="95"/>
        <v>54.684263634218041</v>
      </c>
      <c r="P127" s="122">
        <f t="shared" si="95"/>
        <v>55.231106270560225</v>
      </c>
      <c r="Q127" s="50"/>
      <c r="R127" s="50"/>
      <c r="S127" s="50"/>
      <c r="T127" s="50"/>
      <c r="U127" s="50"/>
      <c r="V127" s="50"/>
      <c r="W127" s="50"/>
      <c r="X127" s="50"/>
      <c r="Y127" s="50"/>
      <c r="Z127" s="50"/>
    </row>
    <row r="128" spans="1:26" ht="15.75" customHeight="1" x14ac:dyDescent="0.35">
      <c r="A128" s="50"/>
      <c r="B128" s="53" t="s">
        <v>167</v>
      </c>
      <c r="C128" s="54"/>
      <c r="D128" s="64">
        <f t="shared" ref="D128:P128" si="96">IFERROR(D91-D116,"")</f>
        <v>50</v>
      </c>
      <c r="E128" s="64">
        <f t="shared" si="96"/>
        <v>50</v>
      </c>
      <c r="F128" s="64">
        <f t="shared" si="96"/>
        <v>50</v>
      </c>
      <c r="G128" s="64">
        <f t="shared" si="96"/>
        <v>50.5</v>
      </c>
      <c r="H128" s="64">
        <f t="shared" si="96"/>
        <v>51.005000000000003</v>
      </c>
      <c r="I128" s="64">
        <f t="shared" si="96"/>
        <v>51.515050000000002</v>
      </c>
      <c r="J128" s="64">
        <f t="shared" si="96"/>
        <v>52.030200499999999</v>
      </c>
      <c r="K128" s="64">
        <f t="shared" si="96"/>
        <v>52.550502504999997</v>
      </c>
      <c r="L128" s="64">
        <f t="shared" si="96"/>
        <v>53.076007530049999</v>
      </c>
      <c r="M128" s="64">
        <f t="shared" si="96"/>
        <v>53.606767605350498</v>
      </c>
      <c r="N128" s="64">
        <f t="shared" si="96"/>
        <v>54.142835281404004</v>
      </c>
      <c r="O128" s="64">
        <f t="shared" si="96"/>
        <v>54.684263634218041</v>
      </c>
      <c r="P128" s="122">
        <f t="shared" si="96"/>
        <v>55.231106270560225</v>
      </c>
      <c r="Q128" s="50"/>
      <c r="R128" s="50"/>
      <c r="S128" s="50"/>
      <c r="T128" s="50"/>
      <c r="U128" s="50"/>
      <c r="V128" s="50"/>
      <c r="W128" s="50"/>
      <c r="X128" s="50"/>
      <c r="Y128" s="50"/>
      <c r="Z128" s="50"/>
    </row>
    <row r="129" spans="1:26" ht="15.75" customHeight="1" x14ac:dyDescent="0.35">
      <c r="A129" s="50"/>
      <c r="B129" s="53" t="s">
        <v>169</v>
      </c>
      <c r="C129" s="54"/>
      <c r="D129" s="64">
        <f t="shared" ref="D129:P129" si="97">IFERROR(D92-D117,"")</f>
        <v>50</v>
      </c>
      <c r="E129" s="64">
        <f t="shared" si="97"/>
        <v>50</v>
      </c>
      <c r="F129" s="64">
        <f t="shared" si="97"/>
        <v>50</v>
      </c>
      <c r="G129" s="64">
        <f t="shared" si="97"/>
        <v>50.5</v>
      </c>
      <c r="H129" s="64">
        <f t="shared" si="97"/>
        <v>51.005000000000003</v>
      </c>
      <c r="I129" s="64">
        <f t="shared" si="97"/>
        <v>51.515050000000002</v>
      </c>
      <c r="J129" s="64">
        <f t="shared" si="97"/>
        <v>52.030200499999999</v>
      </c>
      <c r="K129" s="64">
        <f t="shared" si="97"/>
        <v>52.550502504999997</v>
      </c>
      <c r="L129" s="64">
        <f t="shared" si="97"/>
        <v>53.076007530049999</v>
      </c>
      <c r="M129" s="64">
        <f t="shared" si="97"/>
        <v>53.606767605350498</v>
      </c>
      <c r="N129" s="64">
        <f t="shared" si="97"/>
        <v>54.142835281404004</v>
      </c>
      <c r="O129" s="64">
        <f t="shared" si="97"/>
        <v>54.684263634218041</v>
      </c>
      <c r="P129" s="122">
        <f t="shared" si="97"/>
        <v>55.231106270560225</v>
      </c>
      <c r="Q129" s="50"/>
      <c r="R129" s="50"/>
      <c r="S129" s="50"/>
      <c r="T129" s="50"/>
      <c r="U129" s="50"/>
      <c r="V129" s="50"/>
      <c r="W129" s="50"/>
      <c r="X129" s="50"/>
      <c r="Y129" s="50"/>
      <c r="Z129" s="50"/>
    </row>
    <row r="130" spans="1:26" ht="15.75" customHeight="1" x14ac:dyDescent="0.35">
      <c r="A130" s="50"/>
      <c r="B130" s="53" t="s">
        <v>170</v>
      </c>
      <c r="C130" s="54"/>
      <c r="D130" s="64">
        <f t="shared" ref="D130:P130" si="98">IFERROR(D93-D118,"")</f>
        <v>50</v>
      </c>
      <c r="E130" s="64">
        <f t="shared" si="98"/>
        <v>50</v>
      </c>
      <c r="F130" s="64">
        <f t="shared" si="98"/>
        <v>50</v>
      </c>
      <c r="G130" s="64">
        <f t="shared" si="98"/>
        <v>50.5</v>
      </c>
      <c r="H130" s="64">
        <f t="shared" si="98"/>
        <v>51.005000000000003</v>
      </c>
      <c r="I130" s="64">
        <f t="shared" si="98"/>
        <v>51.515050000000002</v>
      </c>
      <c r="J130" s="64">
        <f t="shared" si="98"/>
        <v>52.030200499999999</v>
      </c>
      <c r="K130" s="64">
        <f t="shared" si="98"/>
        <v>52.550502504999997</v>
      </c>
      <c r="L130" s="64">
        <f t="shared" si="98"/>
        <v>53.076007530049999</v>
      </c>
      <c r="M130" s="64">
        <f t="shared" si="98"/>
        <v>53.606767605350498</v>
      </c>
      <c r="N130" s="64">
        <f t="shared" si="98"/>
        <v>54.142835281404004</v>
      </c>
      <c r="O130" s="64">
        <f t="shared" si="98"/>
        <v>54.684263634218041</v>
      </c>
      <c r="P130" s="122">
        <f t="shared" si="98"/>
        <v>55.231106270560225</v>
      </c>
      <c r="Q130" s="50"/>
      <c r="R130" s="50"/>
      <c r="S130" s="50"/>
      <c r="T130" s="50"/>
      <c r="U130" s="50"/>
      <c r="V130" s="50"/>
      <c r="W130" s="50"/>
      <c r="X130" s="50"/>
      <c r="Y130" s="50"/>
      <c r="Z130" s="50"/>
    </row>
    <row r="131" spans="1:26" ht="15.75" customHeight="1" x14ac:dyDescent="0.35">
      <c r="A131" s="50"/>
      <c r="B131" s="53" t="s">
        <v>171</v>
      </c>
      <c r="C131" s="54"/>
      <c r="D131" s="64">
        <f t="shared" ref="D131:P131" si="99">IFERROR(D94-D119,"")</f>
        <v>50</v>
      </c>
      <c r="E131" s="64">
        <f t="shared" si="99"/>
        <v>50</v>
      </c>
      <c r="F131" s="64">
        <f t="shared" si="99"/>
        <v>50</v>
      </c>
      <c r="G131" s="64">
        <f t="shared" si="99"/>
        <v>50.5</v>
      </c>
      <c r="H131" s="64">
        <f t="shared" si="99"/>
        <v>51.005000000000003</v>
      </c>
      <c r="I131" s="64">
        <f t="shared" si="99"/>
        <v>51.515050000000002</v>
      </c>
      <c r="J131" s="64">
        <f t="shared" si="99"/>
        <v>52.030200499999999</v>
      </c>
      <c r="K131" s="64">
        <f t="shared" si="99"/>
        <v>52.550502504999997</v>
      </c>
      <c r="L131" s="64">
        <f t="shared" si="99"/>
        <v>53.076007530049999</v>
      </c>
      <c r="M131" s="64">
        <f t="shared" si="99"/>
        <v>53.606767605350498</v>
      </c>
      <c r="N131" s="64">
        <f t="shared" si="99"/>
        <v>54.142835281404004</v>
      </c>
      <c r="O131" s="64">
        <f t="shared" si="99"/>
        <v>54.684263634218041</v>
      </c>
      <c r="P131" s="122">
        <f t="shared" si="99"/>
        <v>55.231106270560225</v>
      </c>
      <c r="Q131" s="50"/>
      <c r="R131" s="50"/>
      <c r="S131" s="50"/>
      <c r="T131" s="50"/>
      <c r="U131" s="50"/>
      <c r="V131" s="50"/>
      <c r="W131" s="50"/>
      <c r="X131" s="50"/>
      <c r="Y131" s="50"/>
      <c r="Z131" s="50"/>
    </row>
    <row r="132" spans="1:26" ht="15.75" customHeight="1" x14ac:dyDescent="0.35">
      <c r="A132" s="50"/>
      <c r="B132" s="53" t="s">
        <v>172</v>
      </c>
      <c r="C132" s="54"/>
      <c r="D132" s="64">
        <f t="shared" ref="D132:P132" si="100">IFERROR(D95-D120,"")</f>
        <v>50</v>
      </c>
      <c r="E132" s="64">
        <f t="shared" si="100"/>
        <v>50</v>
      </c>
      <c r="F132" s="64">
        <f t="shared" si="100"/>
        <v>50</v>
      </c>
      <c r="G132" s="64">
        <f t="shared" si="100"/>
        <v>50.5</v>
      </c>
      <c r="H132" s="64">
        <f t="shared" si="100"/>
        <v>51.005000000000003</v>
      </c>
      <c r="I132" s="64">
        <f t="shared" si="100"/>
        <v>51.515050000000002</v>
      </c>
      <c r="J132" s="64">
        <f t="shared" si="100"/>
        <v>52.030200499999999</v>
      </c>
      <c r="K132" s="64">
        <f t="shared" si="100"/>
        <v>52.550502504999997</v>
      </c>
      <c r="L132" s="64">
        <f t="shared" si="100"/>
        <v>53.076007530049999</v>
      </c>
      <c r="M132" s="64">
        <f t="shared" si="100"/>
        <v>53.606767605350498</v>
      </c>
      <c r="N132" s="64">
        <f t="shared" si="100"/>
        <v>54.142835281404004</v>
      </c>
      <c r="O132" s="64">
        <f t="shared" si="100"/>
        <v>54.684263634218041</v>
      </c>
      <c r="P132" s="122">
        <f t="shared" si="100"/>
        <v>55.231106270560225</v>
      </c>
      <c r="Q132" s="50"/>
      <c r="R132" s="50"/>
      <c r="S132" s="50"/>
      <c r="T132" s="50"/>
      <c r="U132" s="50"/>
      <c r="V132" s="50"/>
      <c r="W132" s="50"/>
      <c r="X132" s="50"/>
      <c r="Y132" s="50"/>
      <c r="Z132" s="50"/>
    </row>
    <row r="133" spans="1:26" ht="15.75" customHeight="1" x14ac:dyDescent="0.35">
      <c r="A133" s="50"/>
      <c r="B133" s="53" t="s">
        <v>173</v>
      </c>
      <c r="C133" s="54"/>
      <c r="D133" s="64">
        <f t="shared" ref="D133:P133" si="101">IFERROR(D96-D121,"")</f>
        <v>50</v>
      </c>
      <c r="E133" s="64">
        <f t="shared" si="101"/>
        <v>50</v>
      </c>
      <c r="F133" s="64">
        <f t="shared" si="101"/>
        <v>50</v>
      </c>
      <c r="G133" s="64">
        <f t="shared" si="101"/>
        <v>50.5</v>
      </c>
      <c r="H133" s="64">
        <f t="shared" si="101"/>
        <v>51.005000000000003</v>
      </c>
      <c r="I133" s="64">
        <f t="shared" si="101"/>
        <v>51.515050000000002</v>
      </c>
      <c r="J133" s="64">
        <f t="shared" si="101"/>
        <v>52.030200499999999</v>
      </c>
      <c r="K133" s="64">
        <f t="shared" si="101"/>
        <v>52.550502504999997</v>
      </c>
      <c r="L133" s="64">
        <f t="shared" si="101"/>
        <v>53.076007530049999</v>
      </c>
      <c r="M133" s="64">
        <f t="shared" si="101"/>
        <v>53.606767605350498</v>
      </c>
      <c r="N133" s="64">
        <f t="shared" si="101"/>
        <v>54.142835281404004</v>
      </c>
      <c r="O133" s="64">
        <f t="shared" si="101"/>
        <v>54.684263634218041</v>
      </c>
      <c r="P133" s="122">
        <f t="shared" si="101"/>
        <v>55.231106270560225</v>
      </c>
      <c r="Q133" s="50"/>
      <c r="R133" s="50"/>
      <c r="S133" s="50"/>
      <c r="T133" s="50"/>
      <c r="U133" s="50"/>
      <c r="V133" s="50"/>
      <c r="W133" s="50"/>
      <c r="X133" s="50"/>
      <c r="Y133" s="50"/>
      <c r="Z133" s="50"/>
    </row>
    <row r="134" spans="1:26" ht="15.75" customHeight="1" x14ac:dyDescent="0.35">
      <c r="A134" s="50"/>
      <c r="B134" s="53" t="s">
        <v>174</v>
      </c>
      <c r="C134" s="54"/>
      <c r="D134" s="64">
        <f t="shared" ref="D134:P134" si="102">IFERROR(D97-D122,"")</f>
        <v>50</v>
      </c>
      <c r="E134" s="64">
        <f t="shared" si="102"/>
        <v>50</v>
      </c>
      <c r="F134" s="64">
        <f t="shared" si="102"/>
        <v>50</v>
      </c>
      <c r="G134" s="64">
        <f t="shared" si="102"/>
        <v>50.5</v>
      </c>
      <c r="H134" s="64">
        <f t="shared" si="102"/>
        <v>51.005000000000003</v>
      </c>
      <c r="I134" s="64">
        <f t="shared" si="102"/>
        <v>51.515050000000002</v>
      </c>
      <c r="J134" s="64">
        <f t="shared" si="102"/>
        <v>52.030200499999999</v>
      </c>
      <c r="K134" s="64">
        <f t="shared" si="102"/>
        <v>52.550502504999997</v>
      </c>
      <c r="L134" s="64">
        <f t="shared" si="102"/>
        <v>53.076007530049999</v>
      </c>
      <c r="M134" s="64">
        <f t="shared" si="102"/>
        <v>53.606767605350498</v>
      </c>
      <c r="N134" s="64">
        <f t="shared" si="102"/>
        <v>54.142835281404004</v>
      </c>
      <c r="O134" s="64">
        <f t="shared" si="102"/>
        <v>54.684263634218041</v>
      </c>
      <c r="P134" s="122">
        <f t="shared" si="102"/>
        <v>55.231106270560225</v>
      </c>
      <c r="Q134" s="50"/>
      <c r="R134" s="50"/>
      <c r="S134" s="50"/>
      <c r="T134" s="50"/>
      <c r="U134" s="50"/>
      <c r="V134" s="50"/>
      <c r="W134" s="50"/>
      <c r="X134" s="50"/>
      <c r="Y134" s="50"/>
      <c r="Z134" s="50"/>
    </row>
    <row r="135" spans="1:26" ht="15.75" customHeight="1" x14ac:dyDescent="0.35">
      <c r="A135" s="50"/>
      <c r="B135" s="53" t="s">
        <v>175</v>
      </c>
      <c r="C135" s="50"/>
      <c r="D135" s="64">
        <f t="shared" ref="D135:P135" si="103">IFERROR(D98-D123,"")</f>
        <v>50</v>
      </c>
      <c r="E135" s="64">
        <f t="shared" si="103"/>
        <v>50</v>
      </c>
      <c r="F135" s="64">
        <f t="shared" si="103"/>
        <v>50</v>
      </c>
      <c r="G135" s="64">
        <f t="shared" si="103"/>
        <v>50.5</v>
      </c>
      <c r="H135" s="64">
        <f t="shared" si="103"/>
        <v>51.005000000000003</v>
      </c>
      <c r="I135" s="64">
        <f t="shared" si="103"/>
        <v>51.515050000000002</v>
      </c>
      <c r="J135" s="64">
        <f t="shared" si="103"/>
        <v>52.030200499999999</v>
      </c>
      <c r="K135" s="64">
        <f t="shared" si="103"/>
        <v>52.550502504999997</v>
      </c>
      <c r="L135" s="64">
        <f t="shared" si="103"/>
        <v>53.076007530049999</v>
      </c>
      <c r="M135" s="64">
        <f t="shared" si="103"/>
        <v>53.606767605350498</v>
      </c>
      <c r="N135" s="64">
        <f t="shared" si="103"/>
        <v>54.142835281404004</v>
      </c>
      <c r="O135" s="64">
        <f t="shared" si="103"/>
        <v>54.684263634218041</v>
      </c>
      <c r="P135" s="122">
        <f t="shared" si="103"/>
        <v>55.231106270560225</v>
      </c>
      <c r="Q135" s="50"/>
      <c r="R135" s="50"/>
      <c r="S135" s="50"/>
      <c r="T135" s="50"/>
      <c r="U135" s="50"/>
      <c r="V135" s="50"/>
      <c r="W135" s="50"/>
      <c r="X135" s="50"/>
      <c r="Y135" s="50"/>
      <c r="Z135" s="50"/>
    </row>
    <row r="136" spans="1:26" ht="15.75" customHeight="1" x14ac:dyDescent="0.35">
      <c r="A136" s="50"/>
      <c r="B136" s="53" t="s">
        <v>176</v>
      </c>
      <c r="C136" s="47"/>
      <c r="D136" s="64">
        <f t="shared" ref="D136:P136" si="104">IFERROR(D99-D124,"")</f>
        <v>50</v>
      </c>
      <c r="E136" s="64">
        <f t="shared" si="104"/>
        <v>50</v>
      </c>
      <c r="F136" s="64">
        <f t="shared" si="104"/>
        <v>50</v>
      </c>
      <c r="G136" s="64">
        <f t="shared" si="104"/>
        <v>50.5</v>
      </c>
      <c r="H136" s="64">
        <f t="shared" si="104"/>
        <v>51.005000000000003</v>
      </c>
      <c r="I136" s="64">
        <f t="shared" si="104"/>
        <v>51.515050000000002</v>
      </c>
      <c r="J136" s="64">
        <f t="shared" si="104"/>
        <v>52.030200499999999</v>
      </c>
      <c r="K136" s="64">
        <f t="shared" si="104"/>
        <v>52.550502504999997</v>
      </c>
      <c r="L136" s="64">
        <f t="shared" si="104"/>
        <v>53.076007530049999</v>
      </c>
      <c r="M136" s="64">
        <f t="shared" si="104"/>
        <v>53.606767605350498</v>
      </c>
      <c r="N136" s="64">
        <f t="shared" si="104"/>
        <v>54.142835281404004</v>
      </c>
      <c r="O136" s="64">
        <f t="shared" si="104"/>
        <v>54.684263634218041</v>
      </c>
      <c r="P136" s="122">
        <f t="shared" si="104"/>
        <v>55.231106270560225</v>
      </c>
      <c r="Q136" s="50"/>
      <c r="R136" s="50"/>
      <c r="S136" s="50"/>
      <c r="T136" s="50"/>
      <c r="U136" s="50"/>
      <c r="V136" s="50"/>
      <c r="W136" s="50"/>
      <c r="X136" s="50"/>
      <c r="Y136" s="50"/>
      <c r="Z136" s="50"/>
    </row>
    <row r="137" spans="1:26" ht="15.75" customHeight="1" x14ac:dyDescent="0.35">
      <c r="A137" s="50"/>
      <c r="B137" s="46" t="s">
        <v>136</v>
      </c>
      <c r="C137" s="47"/>
      <c r="D137" s="64"/>
      <c r="E137" s="64"/>
      <c r="F137" s="64"/>
      <c r="G137" s="64"/>
      <c r="H137" s="64"/>
      <c r="I137" s="64"/>
      <c r="J137" s="64"/>
      <c r="K137" s="64"/>
      <c r="L137" s="64"/>
      <c r="M137" s="64"/>
      <c r="N137" s="64"/>
      <c r="O137" s="64"/>
      <c r="P137" s="122"/>
      <c r="Q137" s="50"/>
      <c r="R137" s="50"/>
      <c r="S137" s="50"/>
      <c r="T137" s="50"/>
      <c r="U137" s="50"/>
      <c r="V137" s="50"/>
      <c r="W137" s="50"/>
      <c r="X137" s="50"/>
      <c r="Y137" s="50"/>
      <c r="Z137" s="50"/>
    </row>
    <row r="138" spans="1:26" ht="15.75" customHeight="1" x14ac:dyDescent="0.35">
      <c r="A138" s="50"/>
      <c r="B138" s="53" t="s">
        <v>165</v>
      </c>
      <c r="C138" s="47"/>
      <c r="D138" s="64">
        <f t="shared" ref="D138:D148" si="105">IFERROR(D101*D126,"")+IFERROR((D101*D114*$D$68),"")</f>
        <v>5050</v>
      </c>
      <c r="E138" s="64">
        <f t="shared" ref="E138:P138" si="106">IFERROR(E101*E126,"")++IFERROR(((E101*E114)*$D$68),"")</f>
        <v>5050</v>
      </c>
      <c r="F138" s="64">
        <f t="shared" si="106"/>
        <v>5050</v>
      </c>
      <c r="G138" s="64">
        <f t="shared" si="106"/>
        <v>5355.5249999999996</v>
      </c>
      <c r="H138" s="64">
        <f t="shared" si="106"/>
        <v>5679.5342625000003</v>
      </c>
      <c r="I138" s="64">
        <f t="shared" si="106"/>
        <v>6023.1460853812505</v>
      </c>
      <c r="J138" s="64">
        <f t="shared" si="106"/>
        <v>6387.5464235468162</v>
      </c>
      <c r="K138" s="64">
        <f t="shared" si="106"/>
        <v>6773.9929821713986</v>
      </c>
      <c r="L138" s="64">
        <f t="shared" si="106"/>
        <v>7183.8195575927693</v>
      </c>
      <c r="M138" s="64">
        <f t="shared" si="106"/>
        <v>7618.4406408271325</v>
      </c>
      <c r="N138" s="64">
        <f t="shared" si="106"/>
        <v>8079.3562995971752</v>
      </c>
      <c r="O138" s="64">
        <f t="shared" si="106"/>
        <v>8568.1573557228039</v>
      </c>
      <c r="P138" s="122">
        <f t="shared" si="106"/>
        <v>9086.5308757440325</v>
      </c>
      <c r="Q138" s="50"/>
      <c r="R138" s="50"/>
      <c r="S138" s="50"/>
      <c r="T138" s="50"/>
      <c r="U138" s="50"/>
      <c r="V138" s="50"/>
      <c r="W138" s="50"/>
      <c r="X138" s="50"/>
      <c r="Y138" s="50"/>
      <c r="Z138" s="50"/>
    </row>
    <row r="139" spans="1:26" ht="15.75" customHeight="1" x14ac:dyDescent="0.35">
      <c r="A139" s="50"/>
      <c r="B139" s="53" t="s">
        <v>166</v>
      </c>
      <c r="C139" s="47"/>
      <c r="D139" s="64">
        <f t="shared" si="105"/>
        <v>5050</v>
      </c>
      <c r="E139" s="64">
        <f t="shared" ref="E139:P139" si="107">IFERROR(E102*E127,"")++IFERROR(((E102*E115)*$D$68),"")</f>
        <v>5050</v>
      </c>
      <c r="F139" s="64">
        <f t="shared" si="107"/>
        <v>5050</v>
      </c>
      <c r="G139" s="64">
        <f t="shared" si="107"/>
        <v>5355.5249999999996</v>
      </c>
      <c r="H139" s="64">
        <f t="shared" si="107"/>
        <v>5679.5342625000003</v>
      </c>
      <c r="I139" s="64">
        <f t="shared" si="107"/>
        <v>6023.1460853812505</v>
      </c>
      <c r="J139" s="64">
        <f t="shared" si="107"/>
        <v>6387.5464235468162</v>
      </c>
      <c r="K139" s="64">
        <f t="shared" si="107"/>
        <v>6773.9929821713986</v>
      </c>
      <c r="L139" s="64">
        <f t="shared" si="107"/>
        <v>7183.8195575927693</v>
      </c>
      <c r="M139" s="64">
        <f t="shared" si="107"/>
        <v>7618.4406408271325</v>
      </c>
      <c r="N139" s="64">
        <f t="shared" si="107"/>
        <v>8079.3562995971752</v>
      </c>
      <c r="O139" s="64">
        <f t="shared" si="107"/>
        <v>8568.1573557228039</v>
      </c>
      <c r="P139" s="122">
        <f t="shared" si="107"/>
        <v>9086.5308757440325</v>
      </c>
      <c r="Q139" s="50"/>
      <c r="R139" s="50"/>
      <c r="S139" s="50"/>
      <c r="T139" s="50"/>
      <c r="U139" s="50"/>
      <c r="V139" s="50"/>
      <c r="W139" s="50"/>
      <c r="X139" s="50"/>
      <c r="Y139" s="50"/>
      <c r="Z139" s="50"/>
    </row>
    <row r="140" spans="1:26" ht="15.75" customHeight="1" x14ac:dyDescent="0.35">
      <c r="A140" s="50"/>
      <c r="B140" s="53" t="s">
        <v>167</v>
      </c>
      <c r="C140" s="47"/>
      <c r="D140" s="64">
        <f t="shared" si="105"/>
        <v>5050</v>
      </c>
      <c r="E140" s="64">
        <f t="shared" ref="E140:P140" si="108">IFERROR(E103*E128,"")++IFERROR(((E103*E116)*$D$68),"")</f>
        <v>5050</v>
      </c>
      <c r="F140" s="64">
        <f t="shared" si="108"/>
        <v>5050</v>
      </c>
      <c r="G140" s="64">
        <f t="shared" si="108"/>
        <v>5355.5249999999996</v>
      </c>
      <c r="H140" s="64">
        <f t="shared" si="108"/>
        <v>5679.5342625000003</v>
      </c>
      <c r="I140" s="64">
        <f t="shared" si="108"/>
        <v>6023.1460853812505</v>
      </c>
      <c r="J140" s="64">
        <f t="shared" si="108"/>
        <v>6387.5464235468162</v>
      </c>
      <c r="K140" s="64">
        <f t="shared" si="108"/>
        <v>6773.9929821713986</v>
      </c>
      <c r="L140" s="64">
        <f t="shared" si="108"/>
        <v>7183.8195575927693</v>
      </c>
      <c r="M140" s="64">
        <f t="shared" si="108"/>
        <v>7618.4406408271325</v>
      </c>
      <c r="N140" s="64">
        <f t="shared" si="108"/>
        <v>8079.3562995971752</v>
      </c>
      <c r="O140" s="64">
        <f t="shared" si="108"/>
        <v>8568.1573557228039</v>
      </c>
      <c r="P140" s="122">
        <f t="shared" si="108"/>
        <v>9086.5308757440325</v>
      </c>
      <c r="Q140" s="50"/>
      <c r="R140" s="50"/>
      <c r="S140" s="50"/>
      <c r="T140" s="50"/>
      <c r="U140" s="50"/>
      <c r="V140" s="50"/>
      <c r="W140" s="50"/>
      <c r="X140" s="50"/>
      <c r="Y140" s="50"/>
      <c r="Z140" s="50"/>
    </row>
    <row r="141" spans="1:26" ht="15.75" customHeight="1" x14ac:dyDescent="0.35">
      <c r="A141" s="50"/>
      <c r="B141" s="53" t="s">
        <v>169</v>
      </c>
      <c r="C141" s="47"/>
      <c r="D141" s="64">
        <f t="shared" si="105"/>
        <v>5050</v>
      </c>
      <c r="E141" s="64">
        <f t="shared" ref="E141:P141" si="109">IFERROR(E104*E129,"")++IFERROR(((E104*E117)*$D$68),"")</f>
        <v>5050</v>
      </c>
      <c r="F141" s="64">
        <f t="shared" si="109"/>
        <v>5050</v>
      </c>
      <c r="G141" s="64">
        <f t="shared" si="109"/>
        <v>5355.5249999999996</v>
      </c>
      <c r="H141" s="64">
        <f t="shared" si="109"/>
        <v>5679.5342625000003</v>
      </c>
      <c r="I141" s="64">
        <f t="shared" si="109"/>
        <v>6023.1460853812505</v>
      </c>
      <c r="J141" s="64">
        <f t="shared" si="109"/>
        <v>6387.5464235468162</v>
      </c>
      <c r="K141" s="64">
        <f t="shared" si="109"/>
        <v>6773.9929821713986</v>
      </c>
      <c r="L141" s="64">
        <f t="shared" si="109"/>
        <v>7183.8195575927693</v>
      </c>
      <c r="M141" s="64">
        <f t="shared" si="109"/>
        <v>7618.4406408271325</v>
      </c>
      <c r="N141" s="64">
        <f t="shared" si="109"/>
        <v>8079.3562995971752</v>
      </c>
      <c r="O141" s="64">
        <f t="shared" si="109"/>
        <v>8568.1573557228039</v>
      </c>
      <c r="P141" s="122">
        <f t="shared" si="109"/>
        <v>9086.5308757440325</v>
      </c>
      <c r="Q141" s="50"/>
      <c r="R141" s="50"/>
      <c r="S141" s="50"/>
      <c r="T141" s="50"/>
      <c r="U141" s="50"/>
      <c r="V141" s="50"/>
      <c r="W141" s="50"/>
      <c r="X141" s="50"/>
      <c r="Y141" s="50"/>
      <c r="Z141" s="50"/>
    </row>
    <row r="142" spans="1:26" ht="15.75" customHeight="1" x14ac:dyDescent="0.35">
      <c r="A142" s="50"/>
      <c r="B142" s="53" t="s">
        <v>170</v>
      </c>
      <c r="C142" s="47"/>
      <c r="D142" s="64">
        <f t="shared" si="105"/>
        <v>5050</v>
      </c>
      <c r="E142" s="64">
        <f t="shared" ref="E142:P142" si="110">IFERROR(E105*E130,"")++IFERROR(((E105*E118)*$D$68),"")</f>
        <v>5050</v>
      </c>
      <c r="F142" s="64">
        <f t="shared" si="110"/>
        <v>5050</v>
      </c>
      <c r="G142" s="64">
        <f t="shared" si="110"/>
        <v>5355.5249999999996</v>
      </c>
      <c r="H142" s="64">
        <f t="shared" si="110"/>
        <v>5679.5342625000003</v>
      </c>
      <c r="I142" s="64">
        <f t="shared" si="110"/>
        <v>6023.1460853812505</v>
      </c>
      <c r="J142" s="64">
        <f t="shared" si="110"/>
        <v>6387.5464235468162</v>
      </c>
      <c r="K142" s="64">
        <f t="shared" si="110"/>
        <v>6773.9929821713986</v>
      </c>
      <c r="L142" s="64">
        <f t="shared" si="110"/>
        <v>7183.8195575927693</v>
      </c>
      <c r="M142" s="64">
        <f t="shared" si="110"/>
        <v>7618.4406408271325</v>
      </c>
      <c r="N142" s="64">
        <f t="shared" si="110"/>
        <v>8079.3562995971752</v>
      </c>
      <c r="O142" s="64">
        <f t="shared" si="110"/>
        <v>8568.1573557228039</v>
      </c>
      <c r="P142" s="122">
        <f t="shared" si="110"/>
        <v>9086.5308757440325</v>
      </c>
      <c r="Q142" s="50"/>
      <c r="R142" s="50"/>
      <c r="S142" s="50"/>
      <c r="T142" s="50"/>
      <c r="U142" s="50"/>
      <c r="V142" s="50"/>
      <c r="W142" s="50"/>
      <c r="X142" s="50"/>
      <c r="Y142" s="50"/>
      <c r="Z142" s="50"/>
    </row>
    <row r="143" spans="1:26" ht="15.75" customHeight="1" x14ac:dyDescent="0.35">
      <c r="A143" s="50"/>
      <c r="B143" s="53" t="s">
        <v>171</v>
      </c>
      <c r="C143" s="47"/>
      <c r="D143" s="64">
        <f t="shared" si="105"/>
        <v>5050</v>
      </c>
      <c r="E143" s="64">
        <f t="shared" ref="E143:P143" si="111">IFERROR(E106*E131,"")++IFERROR(((E106*E119)*$D$68),"")</f>
        <v>5050</v>
      </c>
      <c r="F143" s="64">
        <f t="shared" si="111"/>
        <v>5050</v>
      </c>
      <c r="G143" s="64">
        <f t="shared" si="111"/>
        <v>5355.5249999999996</v>
      </c>
      <c r="H143" s="64">
        <f t="shared" si="111"/>
        <v>5679.5342625000003</v>
      </c>
      <c r="I143" s="64">
        <f t="shared" si="111"/>
        <v>6023.1460853812505</v>
      </c>
      <c r="J143" s="64">
        <f t="shared" si="111"/>
        <v>6387.5464235468162</v>
      </c>
      <c r="K143" s="64">
        <f t="shared" si="111"/>
        <v>6773.9929821713986</v>
      </c>
      <c r="L143" s="64">
        <f t="shared" si="111"/>
        <v>7183.8195575927693</v>
      </c>
      <c r="M143" s="64">
        <f t="shared" si="111"/>
        <v>7618.4406408271325</v>
      </c>
      <c r="N143" s="64">
        <f t="shared" si="111"/>
        <v>8079.3562995971752</v>
      </c>
      <c r="O143" s="64">
        <f t="shared" si="111"/>
        <v>8568.1573557228039</v>
      </c>
      <c r="P143" s="122">
        <f t="shared" si="111"/>
        <v>9086.5308757440325</v>
      </c>
      <c r="Q143" s="50"/>
      <c r="R143" s="50"/>
      <c r="S143" s="50"/>
      <c r="T143" s="50"/>
      <c r="U143" s="50"/>
      <c r="V143" s="50"/>
      <c r="W143" s="50"/>
      <c r="X143" s="50"/>
      <c r="Y143" s="50"/>
      <c r="Z143" s="50"/>
    </row>
    <row r="144" spans="1:26" ht="15.75" customHeight="1" x14ac:dyDescent="0.35">
      <c r="A144" s="50"/>
      <c r="B144" s="53" t="s">
        <v>172</v>
      </c>
      <c r="C144" s="47"/>
      <c r="D144" s="64">
        <f t="shared" si="105"/>
        <v>5050</v>
      </c>
      <c r="E144" s="64">
        <f t="shared" ref="E144:P144" si="112">IFERROR(E107*E132,"")++IFERROR(((E107*E120)*$D$68),"")</f>
        <v>5050</v>
      </c>
      <c r="F144" s="64">
        <f t="shared" si="112"/>
        <v>5050</v>
      </c>
      <c r="G144" s="64">
        <f t="shared" si="112"/>
        <v>5355.5249999999996</v>
      </c>
      <c r="H144" s="64">
        <f t="shared" si="112"/>
        <v>5679.5342625000003</v>
      </c>
      <c r="I144" s="64">
        <f t="shared" si="112"/>
        <v>6023.1460853812505</v>
      </c>
      <c r="J144" s="64">
        <f t="shared" si="112"/>
        <v>6387.5464235468162</v>
      </c>
      <c r="K144" s="64">
        <f t="shared" si="112"/>
        <v>6773.9929821713986</v>
      </c>
      <c r="L144" s="64">
        <f t="shared" si="112"/>
        <v>7183.8195575927693</v>
      </c>
      <c r="M144" s="64">
        <f t="shared" si="112"/>
        <v>7618.4406408271325</v>
      </c>
      <c r="N144" s="64">
        <f t="shared" si="112"/>
        <v>8079.3562995971752</v>
      </c>
      <c r="O144" s="64">
        <f t="shared" si="112"/>
        <v>8568.1573557228039</v>
      </c>
      <c r="P144" s="122">
        <f t="shared" si="112"/>
        <v>9086.5308757440325</v>
      </c>
      <c r="Q144" s="50"/>
      <c r="R144" s="50"/>
      <c r="S144" s="50"/>
      <c r="T144" s="50"/>
      <c r="U144" s="50"/>
      <c r="V144" s="50"/>
      <c r="W144" s="50"/>
      <c r="X144" s="50"/>
      <c r="Y144" s="50"/>
      <c r="Z144" s="50"/>
    </row>
    <row r="145" spans="1:26" ht="15.75" customHeight="1" x14ac:dyDescent="0.35">
      <c r="A145" s="50"/>
      <c r="B145" s="53" t="s">
        <v>173</v>
      </c>
      <c r="C145" s="47"/>
      <c r="D145" s="64">
        <f t="shared" si="105"/>
        <v>5050</v>
      </c>
      <c r="E145" s="64">
        <f t="shared" ref="E145:P145" si="113">IFERROR(E108*E133,"")++IFERROR(((E108*E121)*$D$68),"")</f>
        <v>5050</v>
      </c>
      <c r="F145" s="64">
        <f t="shared" si="113"/>
        <v>5050</v>
      </c>
      <c r="G145" s="64">
        <f t="shared" si="113"/>
        <v>5355.5249999999996</v>
      </c>
      <c r="H145" s="64">
        <f t="shared" si="113"/>
        <v>5679.5342625000003</v>
      </c>
      <c r="I145" s="64">
        <f t="shared" si="113"/>
        <v>6023.1460853812505</v>
      </c>
      <c r="J145" s="64">
        <f t="shared" si="113"/>
        <v>6387.5464235468162</v>
      </c>
      <c r="K145" s="64">
        <f t="shared" si="113"/>
        <v>6773.9929821713986</v>
      </c>
      <c r="L145" s="64">
        <f t="shared" si="113"/>
        <v>7183.8195575927693</v>
      </c>
      <c r="M145" s="64">
        <f t="shared" si="113"/>
        <v>7618.4406408271325</v>
      </c>
      <c r="N145" s="64">
        <f t="shared" si="113"/>
        <v>8079.3562995971752</v>
      </c>
      <c r="O145" s="64">
        <f t="shared" si="113"/>
        <v>8568.1573557228039</v>
      </c>
      <c r="P145" s="122">
        <f t="shared" si="113"/>
        <v>9086.5308757440325</v>
      </c>
      <c r="Q145" s="50"/>
      <c r="R145" s="50"/>
      <c r="S145" s="50"/>
      <c r="T145" s="50"/>
      <c r="U145" s="50"/>
      <c r="V145" s="50"/>
      <c r="W145" s="50"/>
      <c r="X145" s="50"/>
      <c r="Y145" s="50"/>
      <c r="Z145" s="50"/>
    </row>
    <row r="146" spans="1:26" ht="15.75" customHeight="1" x14ac:dyDescent="0.35">
      <c r="A146" s="50"/>
      <c r="B146" s="53" t="s">
        <v>174</v>
      </c>
      <c r="C146" s="47"/>
      <c r="D146" s="64">
        <f t="shared" si="105"/>
        <v>5050</v>
      </c>
      <c r="E146" s="64">
        <f t="shared" ref="E146:P146" si="114">IFERROR(E109*E134,"")++IFERROR(((E109*E122)*$D$68),"")</f>
        <v>5050</v>
      </c>
      <c r="F146" s="64">
        <f t="shared" si="114"/>
        <v>5050</v>
      </c>
      <c r="G146" s="64">
        <f t="shared" si="114"/>
        <v>5355.5249999999996</v>
      </c>
      <c r="H146" s="64">
        <f t="shared" si="114"/>
        <v>5679.5342625000003</v>
      </c>
      <c r="I146" s="64">
        <f t="shared" si="114"/>
        <v>6023.1460853812505</v>
      </c>
      <c r="J146" s="64">
        <f t="shared" si="114"/>
        <v>6387.5464235468162</v>
      </c>
      <c r="K146" s="64">
        <f t="shared" si="114"/>
        <v>6773.9929821713986</v>
      </c>
      <c r="L146" s="64">
        <f t="shared" si="114"/>
        <v>7183.8195575927693</v>
      </c>
      <c r="M146" s="64">
        <f t="shared" si="114"/>
        <v>7618.4406408271325</v>
      </c>
      <c r="N146" s="64">
        <f t="shared" si="114"/>
        <v>8079.3562995971752</v>
      </c>
      <c r="O146" s="64">
        <f t="shared" si="114"/>
        <v>8568.1573557228039</v>
      </c>
      <c r="P146" s="122">
        <f t="shared" si="114"/>
        <v>9086.5308757440325</v>
      </c>
      <c r="Q146" s="50"/>
      <c r="R146" s="50"/>
      <c r="S146" s="50"/>
      <c r="T146" s="50"/>
      <c r="U146" s="50"/>
      <c r="V146" s="50"/>
      <c r="W146" s="50"/>
      <c r="X146" s="50"/>
      <c r="Y146" s="50"/>
      <c r="Z146" s="50"/>
    </row>
    <row r="147" spans="1:26" ht="15.75" customHeight="1" x14ac:dyDescent="0.35">
      <c r="A147" s="50"/>
      <c r="B147" s="53" t="s">
        <v>175</v>
      </c>
      <c r="C147" s="47"/>
      <c r="D147" s="64">
        <f t="shared" si="105"/>
        <v>5050</v>
      </c>
      <c r="E147" s="64">
        <f t="shared" ref="E147:P147" si="115">IFERROR(E110*E135,"")++IFERROR(((E110*E123)*$D$68),"")</f>
        <v>5050</v>
      </c>
      <c r="F147" s="64">
        <f t="shared" si="115"/>
        <v>5050</v>
      </c>
      <c r="G147" s="64">
        <f t="shared" si="115"/>
        <v>5355.5249999999996</v>
      </c>
      <c r="H147" s="64">
        <f t="shared" si="115"/>
        <v>5679.5342625000003</v>
      </c>
      <c r="I147" s="64">
        <f t="shared" si="115"/>
        <v>6023.1460853812505</v>
      </c>
      <c r="J147" s="64">
        <f t="shared" si="115"/>
        <v>6387.5464235468162</v>
      </c>
      <c r="K147" s="64">
        <f t="shared" si="115"/>
        <v>6773.9929821713986</v>
      </c>
      <c r="L147" s="64">
        <f t="shared" si="115"/>
        <v>7183.8195575927693</v>
      </c>
      <c r="M147" s="64">
        <f t="shared" si="115"/>
        <v>7618.4406408271325</v>
      </c>
      <c r="N147" s="64">
        <f t="shared" si="115"/>
        <v>8079.3562995971752</v>
      </c>
      <c r="O147" s="64">
        <f t="shared" si="115"/>
        <v>8568.1573557228039</v>
      </c>
      <c r="P147" s="122">
        <f t="shared" si="115"/>
        <v>9086.5308757440325</v>
      </c>
      <c r="Q147" s="50"/>
      <c r="R147" s="50"/>
      <c r="S147" s="50"/>
      <c r="T147" s="50"/>
      <c r="U147" s="50"/>
      <c r="V147" s="50"/>
      <c r="W147" s="50"/>
      <c r="X147" s="50"/>
      <c r="Y147" s="50"/>
      <c r="Z147" s="50"/>
    </row>
    <row r="148" spans="1:26" ht="15.75" customHeight="1" x14ac:dyDescent="0.35">
      <c r="A148" s="50"/>
      <c r="B148" s="53" t="s">
        <v>176</v>
      </c>
      <c r="C148" s="47"/>
      <c r="D148" s="64">
        <f t="shared" si="105"/>
        <v>5050</v>
      </c>
      <c r="E148" s="64">
        <f t="shared" ref="E148:P148" si="116">IFERROR(E111*E136,"")++IFERROR(((E111*E124)*$D$68),"")</f>
        <v>5050</v>
      </c>
      <c r="F148" s="64">
        <f t="shared" si="116"/>
        <v>5050</v>
      </c>
      <c r="G148" s="64">
        <f t="shared" si="116"/>
        <v>5355.5249999999996</v>
      </c>
      <c r="H148" s="64">
        <f t="shared" si="116"/>
        <v>5679.5342625000003</v>
      </c>
      <c r="I148" s="64">
        <f t="shared" si="116"/>
        <v>6023.1460853812505</v>
      </c>
      <c r="J148" s="64">
        <f t="shared" si="116"/>
        <v>6387.5464235468162</v>
      </c>
      <c r="K148" s="64">
        <f t="shared" si="116"/>
        <v>6773.9929821713986</v>
      </c>
      <c r="L148" s="64">
        <f t="shared" si="116"/>
        <v>7183.8195575927693</v>
      </c>
      <c r="M148" s="64">
        <f t="shared" si="116"/>
        <v>7618.4406408271325</v>
      </c>
      <c r="N148" s="64">
        <f t="shared" si="116"/>
        <v>8079.3562995971752</v>
      </c>
      <c r="O148" s="64">
        <f t="shared" si="116"/>
        <v>8568.1573557228039</v>
      </c>
      <c r="P148" s="122">
        <f t="shared" si="116"/>
        <v>9086.5308757440325</v>
      </c>
      <c r="Q148" s="50"/>
      <c r="R148" s="50"/>
      <c r="S148" s="50"/>
      <c r="T148" s="50"/>
      <c r="U148" s="50"/>
      <c r="V148" s="50"/>
      <c r="W148" s="50"/>
      <c r="X148" s="50"/>
      <c r="Y148" s="50"/>
      <c r="Z148" s="50"/>
    </row>
    <row r="149" spans="1:26" ht="15.75" customHeight="1" x14ac:dyDescent="0.35">
      <c r="A149" s="32"/>
      <c r="B149" s="58" t="s">
        <v>65</v>
      </c>
      <c r="C149" s="65"/>
      <c r="D149" s="129">
        <f t="shared" ref="D149:P149" si="117">SUM(D138:D148)</f>
        <v>55550</v>
      </c>
      <c r="E149" s="129">
        <f t="shared" si="117"/>
        <v>55550</v>
      </c>
      <c r="F149" s="129">
        <f t="shared" si="117"/>
        <v>55550</v>
      </c>
      <c r="G149" s="129">
        <f t="shared" si="117"/>
        <v>58910.775000000009</v>
      </c>
      <c r="H149" s="129">
        <f t="shared" si="117"/>
        <v>62474.876887499988</v>
      </c>
      <c r="I149" s="129">
        <f t="shared" si="117"/>
        <v>66254.606939193764</v>
      </c>
      <c r="J149" s="129">
        <f t="shared" si="117"/>
        <v>70263.010659014981</v>
      </c>
      <c r="K149" s="129">
        <f t="shared" si="117"/>
        <v>74513.922803885376</v>
      </c>
      <c r="L149" s="129">
        <f t="shared" si="117"/>
        <v>79022.015133520457</v>
      </c>
      <c r="M149" s="129">
        <f t="shared" si="117"/>
        <v>83802.847049098462</v>
      </c>
      <c r="N149" s="129">
        <f t="shared" si="117"/>
        <v>88872.919295568921</v>
      </c>
      <c r="O149" s="129">
        <f t="shared" si="117"/>
        <v>94249.730912950821</v>
      </c>
      <c r="P149" s="130">
        <f t="shared" si="117"/>
        <v>99951.839633184383</v>
      </c>
      <c r="Q149" s="32"/>
      <c r="R149" s="32"/>
      <c r="S149" s="32"/>
      <c r="T149" s="32"/>
      <c r="U149" s="32"/>
      <c r="V149" s="32"/>
      <c r="W149" s="32"/>
      <c r="X149" s="32"/>
      <c r="Y149" s="32"/>
      <c r="Z149" s="32"/>
    </row>
    <row r="150" spans="1:26" ht="15.75" customHeight="1" x14ac:dyDescent="0.35">
      <c r="A150" s="50"/>
      <c r="B150" s="131" t="s">
        <v>137</v>
      </c>
      <c r="C150" s="132" t="s">
        <v>138</v>
      </c>
      <c r="D150" s="133">
        <f t="array" ref="D150">NPV($D$70,D149:P149)</f>
        <v>944966.54431391717</v>
      </c>
      <c r="E150" s="134"/>
      <c r="F150" s="135"/>
      <c r="G150" s="134"/>
      <c r="H150" s="134"/>
      <c r="I150" s="134"/>
      <c r="J150" s="134"/>
      <c r="K150" s="134"/>
      <c r="L150" s="134"/>
      <c r="M150" s="134"/>
      <c r="N150" s="134"/>
      <c r="O150" s="134"/>
      <c r="P150" s="136"/>
      <c r="Q150" s="50"/>
      <c r="R150" s="50"/>
      <c r="S150" s="50"/>
      <c r="T150" s="50"/>
      <c r="U150" s="50"/>
      <c r="V150" s="50"/>
      <c r="W150" s="50"/>
      <c r="X150" s="50"/>
      <c r="Y150" s="50"/>
      <c r="Z150" s="50"/>
    </row>
    <row r="151" spans="1:26" ht="15.75" customHeight="1" x14ac:dyDescent="0.3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137" t="s">
        <v>55</v>
      </c>
      <c r="C152" s="138"/>
      <c r="D152" s="566" t="s">
        <v>129</v>
      </c>
      <c r="E152" s="552"/>
      <c r="F152" s="553"/>
      <c r="G152" s="139" t="s">
        <v>130</v>
      </c>
      <c r="H152" s="138"/>
      <c r="I152" s="138"/>
      <c r="J152" s="138"/>
      <c r="K152" s="138"/>
      <c r="L152" s="138"/>
      <c r="M152" s="138"/>
      <c r="N152" s="138"/>
      <c r="O152" s="138"/>
      <c r="P152" s="140"/>
      <c r="Q152" s="50"/>
      <c r="R152" s="50"/>
      <c r="S152" s="50"/>
      <c r="T152" s="50"/>
      <c r="U152" s="50"/>
      <c r="V152" s="50"/>
      <c r="W152" s="50"/>
      <c r="X152" s="50"/>
      <c r="Y152" s="50"/>
      <c r="Z152" s="50"/>
    </row>
    <row r="153" spans="1:26" ht="15.75" customHeight="1" x14ac:dyDescent="0.35">
      <c r="A153" s="50"/>
      <c r="B153" s="141"/>
      <c r="C153" s="142"/>
      <c r="D153" s="143">
        <f>D74</f>
        <v>1</v>
      </c>
      <c r="E153" s="143">
        <f>+D153+1</f>
        <v>2</v>
      </c>
      <c r="F153" s="143">
        <f t="shared" ref="F153:P153" si="118">E153+1</f>
        <v>3</v>
      </c>
      <c r="G153" s="143">
        <f t="shared" si="118"/>
        <v>4</v>
      </c>
      <c r="H153" s="143">
        <f t="shared" si="118"/>
        <v>5</v>
      </c>
      <c r="I153" s="143">
        <f t="shared" si="118"/>
        <v>6</v>
      </c>
      <c r="J153" s="143">
        <f t="shared" si="118"/>
        <v>7</v>
      </c>
      <c r="K153" s="143">
        <f t="shared" si="118"/>
        <v>8</v>
      </c>
      <c r="L153" s="143">
        <f t="shared" si="118"/>
        <v>9</v>
      </c>
      <c r="M153" s="143">
        <f t="shared" si="118"/>
        <v>10</v>
      </c>
      <c r="N153" s="143">
        <f t="shared" si="118"/>
        <v>11</v>
      </c>
      <c r="O153" s="143">
        <f t="shared" si="118"/>
        <v>12</v>
      </c>
      <c r="P153" s="144">
        <f t="shared" si="118"/>
        <v>13</v>
      </c>
      <c r="Q153" s="50"/>
      <c r="R153" s="50"/>
      <c r="S153" s="50"/>
      <c r="T153" s="50"/>
      <c r="U153" s="50"/>
      <c r="V153" s="50"/>
      <c r="W153" s="50"/>
      <c r="X153" s="50"/>
      <c r="Y153" s="50"/>
      <c r="Z153" s="50"/>
    </row>
    <row r="154" spans="1:26" ht="15.75" customHeight="1" x14ac:dyDescent="0.35">
      <c r="A154" s="50"/>
      <c r="B154" s="46" t="s">
        <v>139</v>
      </c>
      <c r="C154" s="47"/>
      <c r="D154" s="49"/>
      <c r="E154" s="49"/>
      <c r="F154" s="49"/>
      <c r="G154" s="49"/>
      <c r="H154" s="49"/>
      <c r="I154" s="49"/>
      <c r="J154" s="49"/>
      <c r="K154" s="49"/>
      <c r="L154" s="49"/>
      <c r="M154" s="49"/>
      <c r="N154" s="50"/>
      <c r="O154" s="50"/>
      <c r="P154" s="115"/>
      <c r="Q154" s="50"/>
      <c r="R154" s="50"/>
      <c r="S154" s="50"/>
      <c r="T154" s="50"/>
      <c r="U154" s="50"/>
      <c r="V154" s="50"/>
      <c r="W154" s="50"/>
      <c r="X154" s="50"/>
      <c r="Y154" s="50"/>
      <c r="Z154" s="50"/>
    </row>
    <row r="155" spans="1:26" ht="15.75" customHeight="1" x14ac:dyDescent="0.35">
      <c r="A155" s="50"/>
      <c r="B155" s="53" t="s">
        <v>165</v>
      </c>
      <c r="C155" s="47" t="s">
        <v>109</v>
      </c>
      <c r="D155" s="145">
        <f t="shared" ref="D155:P155" si="119">IFERROR(D101/D76,"")</f>
        <v>0.1</v>
      </c>
      <c r="E155" s="145">
        <f t="shared" si="119"/>
        <v>0.1</v>
      </c>
      <c r="F155" s="145">
        <f t="shared" si="119"/>
        <v>0.1</v>
      </c>
      <c r="G155" s="145">
        <f t="shared" si="119"/>
        <v>0.10396039603960396</v>
      </c>
      <c r="H155" s="145">
        <f t="shared" si="119"/>
        <v>0.10807763944711303</v>
      </c>
      <c r="I155" s="145">
        <f t="shared" si="119"/>
        <v>0.11235794199947395</v>
      </c>
      <c r="J155" s="145">
        <f t="shared" si="119"/>
        <v>0.11680776148460163</v>
      </c>
      <c r="K155" s="145">
        <f t="shared" si="119"/>
        <v>0.12143381144438785</v>
      </c>
      <c r="L155" s="145">
        <f t="shared" si="119"/>
        <v>0.12624307130357154</v>
      </c>
      <c r="M155" s="145">
        <f t="shared" si="119"/>
        <v>0.13124279689975263</v>
      </c>
      <c r="N155" s="145">
        <f t="shared" si="119"/>
        <v>0.13644053143043591</v>
      </c>
      <c r="O155" s="145">
        <f t="shared" si="119"/>
        <v>0.14184411683362147</v>
      </c>
      <c r="P155" s="146">
        <f t="shared" si="119"/>
        <v>0.14746170561911143</v>
      </c>
      <c r="Q155" s="50"/>
      <c r="R155" s="50"/>
      <c r="S155" s="50"/>
      <c r="T155" s="50"/>
      <c r="U155" s="50"/>
      <c r="V155" s="50"/>
      <c r="W155" s="50"/>
      <c r="X155" s="50"/>
      <c r="Y155" s="50"/>
      <c r="Z155" s="50"/>
    </row>
    <row r="156" spans="1:26" ht="15.75" customHeight="1" x14ac:dyDescent="0.35">
      <c r="A156" s="50"/>
      <c r="B156" s="53" t="s">
        <v>166</v>
      </c>
      <c r="C156" s="47" t="s">
        <v>109</v>
      </c>
      <c r="D156" s="145">
        <f t="shared" ref="D156:P156" si="120">IFERROR(D102/D77,"")</f>
        <v>0.1</v>
      </c>
      <c r="E156" s="145">
        <f t="shared" si="120"/>
        <v>0.1</v>
      </c>
      <c r="F156" s="145">
        <f t="shared" si="120"/>
        <v>0.1</v>
      </c>
      <c r="G156" s="145">
        <f t="shared" si="120"/>
        <v>0.10396039603960396</v>
      </c>
      <c r="H156" s="145">
        <f t="shared" si="120"/>
        <v>0.10807763944711303</v>
      </c>
      <c r="I156" s="145">
        <f t="shared" si="120"/>
        <v>0.11235794199947395</v>
      </c>
      <c r="J156" s="145">
        <f t="shared" si="120"/>
        <v>0.11680776148460163</v>
      </c>
      <c r="K156" s="145">
        <f t="shared" si="120"/>
        <v>0.12143381144438785</v>
      </c>
      <c r="L156" s="145">
        <f t="shared" si="120"/>
        <v>0.12624307130357154</v>
      </c>
      <c r="M156" s="145">
        <f t="shared" si="120"/>
        <v>0.13124279689975263</v>
      </c>
      <c r="N156" s="145">
        <f t="shared" si="120"/>
        <v>0.13644053143043591</v>
      </c>
      <c r="O156" s="145">
        <f t="shared" si="120"/>
        <v>0.14184411683362147</v>
      </c>
      <c r="P156" s="146">
        <f t="shared" si="120"/>
        <v>0.14746170561911143</v>
      </c>
      <c r="Q156" s="50"/>
      <c r="R156" s="50"/>
      <c r="S156" s="50"/>
      <c r="T156" s="50"/>
      <c r="U156" s="50"/>
      <c r="V156" s="50"/>
      <c r="W156" s="50"/>
      <c r="X156" s="50"/>
      <c r="Y156" s="50"/>
      <c r="Z156" s="50"/>
    </row>
    <row r="157" spans="1:26" ht="15.75" customHeight="1" x14ac:dyDescent="0.35">
      <c r="A157" s="50"/>
      <c r="B157" s="53" t="s">
        <v>167</v>
      </c>
      <c r="C157" s="47" t="s">
        <v>109</v>
      </c>
      <c r="D157" s="145">
        <f t="shared" ref="D157:P157" si="121">IFERROR(D103/D78,"")</f>
        <v>0.1</v>
      </c>
      <c r="E157" s="145">
        <f t="shared" si="121"/>
        <v>0.1</v>
      </c>
      <c r="F157" s="145">
        <f t="shared" si="121"/>
        <v>0.1</v>
      </c>
      <c r="G157" s="145">
        <f t="shared" si="121"/>
        <v>0.10396039603960396</v>
      </c>
      <c r="H157" s="145">
        <f t="shared" si="121"/>
        <v>0.10807763944711303</v>
      </c>
      <c r="I157" s="145">
        <f t="shared" si="121"/>
        <v>0.11235794199947395</v>
      </c>
      <c r="J157" s="145">
        <f t="shared" si="121"/>
        <v>0.11680776148460163</v>
      </c>
      <c r="K157" s="145">
        <f t="shared" si="121"/>
        <v>0.12143381144438785</v>
      </c>
      <c r="L157" s="145">
        <f t="shared" si="121"/>
        <v>0.12624307130357154</v>
      </c>
      <c r="M157" s="145">
        <f t="shared" si="121"/>
        <v>0.13124279689975263</v>
      </c>
      <c r="N157" s="145">
        <f t="shared" si="121"/>
        <v>0.13644053143043591</v>
      </c>
      <c r="O157" s="145">
        <f t="shared" si="121"/>
        <v>0.14184411683362147</v>
      </c>
      <c r="P157" s="146">
        <f t="shared" si="121"/>
        <v>0.14746170561911143</v>
      </c>
      <c r="Q157" s="50"/>
      <c r="R157" s="50"/>
      <c r="S157" s="50"/>
      <c r="T157" s="50"/>
      <c r="U157" s="50"/>
      <c r="V157" s="50"/>
      <c r="W157" s="50"/>
      <c r="X157" s="50"/>
      <c r="Y157" s="50"/>
      <c r="Z157" s="50"/>
    </row>
    <row r="158" spans="1:26" ht="15.75" customHeight="1" x14ac:dyDescent="0.35">
      <c r="A158" s="50"/>
      <c r="B158" s="53" t="s">
        <v>169</v>
      </c>
      <c r="C158" s="47" t="s">
        <v>109</v>
      </c>
      <c r="D158" s="145">
        <f t="shared" ref="D158:P158" si="122">IFERROR(D104/D79,"")</f>
        <v>0.1</v>
      </c>
      <c r="E158" s="145">
        <f t="shared" si="122"/>
        <v>0.1</v>
      </c>
      <c r="F158" s="145">
        <f t="shared" si="122"/>
        <v>0.1</v>
      </c>
      <c r="G158" s="145">
        <f t="shared" si="122"/>
        <v>0.10396039603960396</v>
      </c>
      <c r="H158" s="145">
        <f t="shared" si="122"/>
        <v>0.10807763944711303</v>
      </c>
      <c r="I158" s="145">
        <f t="shared" si="122"/>
        <v>0.11235794199947395</v>
      </c>
      <c r="J158" s="145">
        <f t="shared" si="122"/>
        <v>0.11680776148460163</v>
      </c>
      <c r="K158" s="145">
        <f t="shared" si="122"/>
        <v>0.12143381144438785</v>
      </c>
      <c r="L158" s="145">
        <f t="shared" si="122"/>
        <v>0.12624307130357154</v>
      </c>
      <c r="M158" s="145">
        <f t="shared" si="122"/>
        <v>0.13124279689975263</v>
      </c>
      <c r="N158" s="145">
        <f t="shared" si="122"/>
        <v>0.13644053143043591</v>
      </c>
      <c r="O158" s="145">
        <f t="shared" si="122"/>
        <v>0.14184411683362147</v>
      </c>
      <c r="P158" s="146">
        <f t="shared" si="122"/>
        <v>0.14746170561911143</v>
      </c>
      <c r="Q158" s="50"/>
      <c r="R158" s="50"/>
      <c r="S158" s="50"/>
      <c r="T158" s="50"/>
      <c r="U158" s="50"/>
      <c r="V158" s="50"/>
      <c r="W158" s="50"/>
      <c r="X158" s="50"/>
      <c r="Y158" s="50"/>
      <c r="Z158" s="50"/>
    </row>
    <row r="159" spans="1:26" ht="15.75" customHeight="1" x14ac:dyDescent="0.35">
      <c r="A159" s="50"/>
      <c r="B159" s="53" t="s">
        <v>170</v>
      </c>
      <c r="C159" s="47" t="s">
        <v>109</v>
      </c>
      <c r="D159" s="145">
        <f t="shared" ref="D159:P159" si="123">IFERROR(D105/D80,"")</f>
        <v>0.1</v>
      </c>
      <c r="E159" s="145">
        <f t="shared" si="123"/>
        <v>0.1</v>
      </c>
      <c r="F159" s="145">
        <f t="shared" si="123"/>
        <v>0.1</v>
      </c>
      <c r="G159" s="145">
        <f t="shared" si="123"/>
        <v>0.10396039603960396</v>
      </c>
      <c r="H159" s="145">
        <f t="shared" si="123"/>
        <v>0.10807763944711303</v>
      </c>
      <c r="I159" s="145">
        <f t="shared" si="123"/>
        <v>0.11235794199947395</v>
      </c>
      <c r="J159" s="145">
        <f t="shared" si="123"/>
        <v>0.11680776148460163</v>
      </c>
      <c r="K159" s="145">
        <f t="shared" si="123"/>
        <v>0.12143381144438785</v>
      </c>
      <c r="L159" s="145">
        <f t="shared" si="123"/>
        <v>0.12624307130357154</v>
      </c>
      <c r="M159" s="145">
        <f t="shared" si="123"/>
        <v>0.13124279689975263</v>
      </c>
      <c r="N159" s="145">
        <f t="shared" si="123"/>
        <v>0.13644053143043591</v>
      </c>
      <c r="O159" s="145">
        <f t="shared" si="123"/>
        <v>0.14184411683362147</v>
      </c>
      <c r="P159" s="146">
        <f t="shared" si="123"/>
        <v>0.14746170561911143</v>
      </c>
      <c r="Q159" s="50"/>
      <c r="R159" s="50"/>
      <c r="S159" s="50"/>
      <c r="T159" s="50"/>
      <c r="U159" s="50"/>
      <c r="V159" s="50"/>
      <c r="W159" s="50"/>
      <c r="X159" s="50"/>
      <c r="Y159" s="50"/>
      <c r="Z159" s="50"/>
    </row>
    <row r="160" spans="1:26" ht="15.75" customHeight="1" x14ac:dyDescent="0.35">
      <c r="A160" s="50"/>
      <c r="B160" s="53" t="s">
        <v>171</v>
      </c>
      <c r="C160" s="47" t="s">
        <v>109</v>
      </c>
      <c r="D160" s="145">
        <f t="shared" ref="D160:P160" si="124">IFERROR(D106/D81,"")</f>
        <v>0.1</v>
      </c>
      <c r="E160" s="145">
        <f t="shared" si="124"/>
        <v>0.1</v>
      </c>
      <c r="F160" s="145">
        <f t="shared" si="124"/>
        <v>0.1</v>
      </c>
      <c r="G160" s="145">
        <f t="shared" si="124"/>
        <v>0.10396039603960396</v>
      </c>
      <c r="H160" s="145">
        <f t="shared" si="124"/>
        <v>0.10807763944711303</v>
      </c>
      <c r="I160" s="145">
        <f t="shared" si="124"/>
        <v>0.11235794199947395</v>
      </c>
      <c r="J160" s="145">
        <f t="shared" si="124"/>
        <v>0.11680776148460163</v>
      </c>
      <c r="K160" s="145">
        <f t="shared" si="124"/>
        <v>0.12143381144438785</v>
      </c>
      <c r="L160" s="145">
        <f t="shared" si="124"/>
        <v>0.12624307130357154</v>
      </c>
      <c r="M160" s="145">
        <f t="shared" si="124"/>
        <v>0.13124279689975263</v>
      </c>
      <c r="N160" s="145">
        <f t="shared" si="124"/>
        <v>0.13644053143043591</v>
      </c>
      <c r="O160" s="145">
        <f t="shared" si="124"/>
        <v>0.14184411683362147</v>
      </c>
      <c r="P160" s="146">
        <f t="shared" si="124"/>
        <v>0.14746170561911143</v>
      </c>
      <c r="Q160" s="50"/>
      <c r="R160" s="50"/>
      <c r="S160" s="50"/>
      <c r="T160" s="50"/>
      <c r="U160" s="50"/>
      <c r="V160" s="50"/>
      <c r="W160" s="50"/>
      <c r="X160" s="50"/>
      <c r="Y160" s="50"/>
      <c r="Z160" s="50"/>
    </row>
    <row r="161" spans="1:26" ht="15.75" customHeight="1" x14ac:dyDescent="0.35">
      <c r="A161" s="50"/>
      <c r="B161" s="53" t="s">
        <v>172</v>
      </c>
      <c r="C161" s="47" t="s">
        <v>109</v>
      </c>
      <c r="D161" s="145">
        <f t="shared" ref="D161:P161" si="125">IFERROR(D107/D82,"")</f>
        <v>0.1</v>
      </c>
      <c r="E161" s="145">
        <f t="shared" si="125"/>
        <v>0.1</v>
      </c>
      <c r="F161" s="145">
        <f t="shared" si="125"/>
        <v>0.1</v>
      </c>
      <c r="G161" s="145">
        <f t="shared" si="125"/>
        <v>0.10396039603960396</v>
      </c>
      <c r="H161" s="145">
        <f t="shared" si="125"/>
        <v>0.10807763944711303</v>
      </c>
      <c r="I161" s="145">
        <f t="shared" si="125"/>
        <v>0.11235794199947395</v>
      </c>
      <c r="J161" s="145">
        <f t="shared" si="125"/>
        <v>0.11680776148460163</v>
      </c>
      <c r="K161" s="145">
        <f t="shared" si="125"/>
        <v>0.12143381144438785</v>
      </c>
      <c r="L161" s="145">
        <f t="shared" si="125"/>
        <v>0.12624307130357154</v>
      </c>
      <c r="M161" s="145">
        <f t="shared" si="125"/>
        <v>0.13124279689975263</v>
      </c>
      <c r="N161" s="145">
        <f t="shared" si="125"/>
        <v>0.13644053143043591</v>
      </c>
      <c r="O161" s="145">
        <f t="shared" si="125"/>
        <v>0.14184411683362147</v>
      </c>
      <c r="P161" s="146">
        <f t="shared" si="125"/>
        <v>0.14746170561911143</v>
      </c>
      <c r="Q161" s="50"/>
      <c r="R161" s="50"/>
      <c r="S161" s="50"/>
      <c r="T161" s="50"/>
      <c r="U161" s="50"/>
      <c r="V161" s="50"/>
      <c r="W161" s="50"/>
      <c r="X161" s="50"/>
      <c r="Y161" s="50"/>
      <c r="Z161" s="50"/>
    </row>
    <row r="162" spans="1:26" ht="15.75" customHeight="1" x14ac:dyDescent="0.35">
      <c r="A162" s="50"/>
      <c r="B162" s="53" t="s">
        <v>173</v>
      </c>
      <c r="C162" s="47" t="s">
        <v>109</v>
      </c>
      <c r="D162" s="145">
        <f t="shared" ref="D162:P162" si="126">IFERROR(D108/D83,"")</f>
        <v>0.1</v>
      </c>
      <c r="E162" s="145">
        <f t="shared" si="126"/>
        <v>0.1</v>
      </c>
      <c r="F162" s="145">
        <f t="shared" si="126"/>
        <v>0.1</v>
      </c>
      <c r="G162" s="145">
        <f t="shared" si="126"/>
        <v>0.10396039603960396</v>
      </c>
      <c r="H162" s="145">
        <f t="shared" si="126"/>
        <v>0.10807763944711303</v>
      </c>
      <c r="I162" s="145">
        <f t="shared" si="126"/>
        <v>0.11235794199947395</v>
      </c>
      <c r="J162" s="145">
        <f t="shared" si="126"/>
        <v>0.11680776148460163</v>
      </c>
      <c r="K162" s="145">
        <f t="shared" si="126"/>
        <v>0.12143381144438785</v>
      </c>
      <c r="L162" s="145">
        <f t="shared" si="126"/>
        <v>0.12624307130357154</v>
      </c>
      <c r="M162" s="145">
        <f t="shared" si="126"/>
        <v>0.13124279689975263</v>
      </c>
      <c r="N162" s="145">
        <f t="shared" si="126"/>
        <v>0.13644053143043591</v>
      </c>
      <c r="O162" s="145">
        <f t="shared" si="126"/>
        <v>0.14184411683362147</v>
      </c>
      <c r="P162" s="146">
        <f t="shared" si="126"/>
        <v>0.14746170561911143</v>
      </c>
      <c r="Q162" s="50"/>
      <c r="R162" s="50"/>
      <c r="S162" s="50"/>
      <c r="T162" s="50"/>
      <c r="U162" s="50"/>
      <c r="V162" s="50"/>
      <c r="W162" s="50"/>
      <c r="X162" s="50"/>
      <c r="Y162" s="50"/>
      <c r="Z162" s="50"/>
    </row>
    <row r="163" spans="1:26" ht="15.75" customHeight="1" x14ac:dyDescent="0.35">
      <c r="A163" s="50"/>
      <c r="B163" s="53" t="s">
        <v>174</v>
      </c>
      <c r="C163" s="47" t="s">
        <v>109</v>
      </c>
      <c r="D163" s="145">
        <f t="shared" ref="D163:P163" si="127">IFERROR(D109/D84,"")</f>
        <v>0.1</v>
      </c>
      <c r="E163" s="145">
        <f t="shared" si="127"/>
        <v>0.1</v>
      </c>
      <c r="F163" s="145">
        <f t="shared" si="127"/>
        <v>0.1</v>
      </c>
      <c r="G163" s="145">
        <f t="shared" si="127"/>
        <v>0.10396039603960396</v>
      </c>
      <c r="H163" s="145">
        <f t="shared" si="127"/>
        <v>0.10807763944711303</v>
      </c>
      <c r="I163" s="145">
        <f t="shared" si="127"/>
        <v>0.11235794199947395</v>
      </c>
      <c r="J163" s="145">
        <f t="shared" si="127"/>
        <v>0.11680776148460163</v>
      </c>
      <c r="K163" s="145">
        <f t="shared" si="127"/>
        <v>0.12143381144438785</v>
      </c>
      <c r="L163" s="145">
        <f t="shared" si="127"/>
        <v>0.12624307130357154</v>
      </c>
      <c r="M163" s="145">
        <f t="shared" si="127"/>
        <v>0.13124279689975263</v>
      </c>
      <c r="N163" s="145">
        <f t="shared" si="127"/>
        <v>0.13644053143043591</v>
      </c>
      <c r="O163" s="145">
        <f t="shared" si="127"/>
        <v>0.14184411683362147</v>
      </c>
      <c r="P163" s="146">
        <f t="shared" si="127"/>
        <v>0.14746170561911143</v>
      </c>
      <c r="Q163" s="50"/>
      <c r="R163" s="50"/>
      <c r="S163" s="50"/>
      <c r="T163" s="50"/>
      <c r="U163" s="50"/>
      <c r="V163" s="50"/>
      <c r="W163" s="50"/>
      <c r="X163" s="50"/>
      <c r="Y163" s="50"/>
      <c r="Z163" s="50"/>
    </row>
    <row r="164" spans="1:26" ht="15.75" customHeight="1" x14ac:dyDescent="0.35">
      <c r="A164" s="50"/>
      <c r="B164" s="53" t="s">
        <v>175</v>
      </c>
      <c r="C164" s="47" t="s">
        <v>109</v>
      </c>
      <c r="D164" s="145">
        <f t="shared" ref="D164:P164" si="128">IFERROR(D110/D85,"")</f>
        <v>0.1</v>
      </c>
      <c r="E164" s="145">
        <f t="shared" si="128"/>
        <v>0.1</v>
      </c>
      <c r="F164" s="145">
        <f t="shared" si="128"/>
        <v>0.1</v>
      </c>
      <c r="G164" s="145">
        <f t="shared" si="128"/>
        <v>0.10396039603960396</v>
      </c>
      <c r="H164" s="145">
        <f t="shared" si="128"/>
        <v>0.10807763944711303</v>
      </c>
      <c r="I164" s="145">
        <f t="shared" si="128"/>
        <v>0.11235794199947395</v>
      </c>
      <c r="J164" s="145">
        <f t="shared" si="128"/>
        <v>0.11680776148460163</v>
      </c>
      <c r="K164" s="145">
        <f t="shared" si="128"/>
        <v>0.12143381144438785</v>
      </c>
      <c r="L164" s="145">
        <f t="shared" si="128"/>
        <v>0.12624307130357154</v>
      </c>
      <c r="M164" s="145">
        <f t="shared" si="128"/>
        <v>0.13124279689975263</v>
      </c>
      <c r="N164" s="145">
        <f t="shared" si="128"/>
        <v>0.13644053143043591</v>
      </c>
      <c r="O164" s="145">
        <f t="shared" si="128"/>
        <v>0.14184411683362147</v>
      </c>
      <c r="P164" s="146">
        <f t="shared" si="128"/>
        <v>0.14746170561911143</v>
      </c>
      <c r="Q164" s="50"/>
      <c r="R164" s="50"/>
      <c r="S164" s="50"/>
      <c r="T164" s="50"/>
      <c r="U164" s="50"/>
      <c r="V164" s="50"/>
      <c r="W164" s="50"/>
      <c r="X164" s="50"/>
      <c r="Y164" s="50"/>
      <c r="Z164" s="50"/>
    </row>
    <row r="165" spans="1:26" ht="15.75" customHeight="1" x14ac:dyDescent="0.35">
      <c r="A165" s="50"/>
      <c r="B165" s="53" t="s">
        <v>176</v>
      </c>
      <c r="C165" s="47" t="s">
        <v>109</v>
      </c>
      <c r="D165" s="145">
        <f t="shared" ref="D165:P165" si="129">IFERROR(D111/D86,"")</f>
        <v>0.1</v>
      </c>
      <c r="E165" s="145">
        <f t="shared" si="129"/>
        <v>0.1</v>
      </c>
      <c r="F165" s="145">
        <f t="shared" si="129"/>
        <v>0.1</v>
      </c>
      <c r="G165" s="145">
        <f t="shared" si="129"/>
        <v>0.10396039603960396</v>
      </c>
      <c r="H165" s="145">
        <f t="shared" si="129"/>
        <v>0.10807763944711303</v>
      </c>
      <c r="I165" s="145">
        <f t="shared" si="129"/>
        <v>0.11235794199947395</v>
      </c>
      <c r="J165" s="145">
        <f t="shared" si="129"/>
        <v>0.11680776148460163</v>
      </c>
      <c r="K165" s="145">
        <f t="shared" si="129"/>
        <v>0.12143381144438785</v>
      </c>
      <c r="L165" s="145">
        <f t="shared" si="129"/>
        <v>0.12624307130357154</v>
      </c>
      <c r="M165" s="145">
        <f t="shared" si="129"/>
        <v>0.13124279689975263</v>
      </c>
      <c r="N165" s="145">
        <f t="shared" si="129"/>
        <v>0.13644053143043591</v>
      </c>
      <c r="O165" s="145">
        <f t="shared" si="129"/>
        <v>0.14184411683362147</v>
      </c>
      <c r="P165" s="146">
        <f t="shared" si="129"/>
        <v>0.14746170561911143</v>
      </c>
      <c r="Q165" s="50"/>
      <c r="R165" s="50"/>
      <c r="S165" s="50"/>
      <c r="T165" s="50"/>
      <c r="U165" s="50"/>
      <c r="V165" s="50"/>
      <c r="W165" s="50"/>
      <c r="X165" s="50"/>
      <c r="Y165" s="50"/>
      <c r="Z165" s="50"/>
    </row>
    <row r="166" spans="1:26" ht="15.75" customHeight="1" x14ac:dyDescent="0.35">
      <c r="A166" s="50"/>
      <c r="B166" s="147" t="s">
        <v>140</v>
      </c>
      <c r="C166" s="148" t="s">
        <v>109</v>
      </c>
      <c r="D166" s="149">
        <f t="shared" ref="D166:P166" si="130">D112/D87</f>
        <v>0.1</v>
      </c>
      <c r="E166" s="149">
        <f t="shared" si="130"/>
        <v>0.1</v>
      </c>
      <c r="F166" s="149">
        <f t="shared" si="130"/>
        <v>0.1</v>
      </c>
      <c r="G166" s="149">
        <f t="shared" si="130"/>
        <v>0.10396039603960396</v>
      </c>
      <c r="H166" s="149">
        <f t="shared" si="130"/>
        <v>0.108077639447113</v>
      </c>
      <c r="I166" s="149">
        <f t="shared" si="130"/>
        <v>0.11235794199947401</v>
      </c>
      <c r="J166" s="149">
        <f t="shared" si="130"/>
        <v>0.11680776148460166</v>
      </c>
      <c r="K166" s="149">
        <f t="shared" si="130"/>
        <v>0.12143381144438789</v>
      </c>
      <c r="L166" s="149">
        <f t="shared" si="130"/>
        <v>0.12624307130357151</v>
      </c>
      <c r="M166" s="149">
        <f t="shared" si="130"/>
        <v>0.13124279689975263</v>
      </c>
      <c r="N166" s="149">
        <f t="shared" si="130"/>
        <v>0.13644053143043586</v>
      </c>
      <c r="O166" s="149">
        <f t="shared" si="130"/>
        <v>0.1418441168336215</v>
      </c>
      <c r="P166" s="150">
        <f t="shared" si="130"/>
        <v>0.14746170561911143</v>
      </c>
      <c r="Q166" s="50"/>
      <c r="R166" s="50"/>
      <c r="S166" s="50"/>
      <c r="T166" s="50"/>
      <c r="U166" s="50"/>
      <c r="V166" s="50"/>
      <c r="W166" s="50"/>
      <c r="X166" s="50"/>
      <c r="Y166" s="50"/>
      <c r="Z166" s="50"/>
    </row>
    <row r="167" spans="1:26" ht="15.75" customHeight="1" x14ac:dyDescent="0.3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x14ac:dyDescent="0.3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x14ac:dyDescent="0.3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x14ac:dyDescent="0.3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x14ac:dyDescent="0.35">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x14ac:dyDescent="0.35">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x14ac:dyDescent="0.3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x14ac:dyDescent="0.35">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x14ac:dyDescent="0.35">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x14ac:dyDescent="0.35">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x14ac:dyDescent="0.35">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x14ac:dyDescent="0.35">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x14ac:dyDescent="0.35">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x14ac:dyDescent="0.35">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x14ac:dyDescent="0.35">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x14ac:dyDescent="0.35">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x14ac:dyDescent="0.3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x14ac:dyDescent="0.35">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x14ac:dyDescent="0.35">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x14ac:dyDescent="0.35">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x14ac:dyDescent="0.35">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x14ac:dyDescent="0.35">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x14ac:dyDescent="0.35">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x14ac:dyDescent="0.35">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x14ac:dyDescent="0.35">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x14ac:dyDescent="0.35">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x14ac:dyDescent="0.3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x14ac:dyDescent="0.35">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x14ac:dyDescent="0.35">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x14ac:dyDescent="0.35">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x14ac:dyDescent="0.35">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x14ac:dyDescent="0.35">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x14ac:dyDescent="0.35">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x14ac:dyDescent="0.35">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x14ac:dyDescent="0.35">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x14ac:dyDescent="0.35">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x14ac:dyDescent="0.3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x14ac:dyDescent="0.35">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x14ac:dyDescent="0.35">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x14ac:dyDescent="0.35">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x14ac:dyDescent="0.35">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x14ac:dyDescent="0.35">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x14ac:dyDescent="0.3"/>
    <row r="312" spans="1:26" ht="15.75" customHeight="1" x14ac:dyDescent="0.3"/>
    <row r="313" spans="1:26" ht="15.75" customHeight="1" x14ac:dyDescent="0.3"/>
    <row r="314" spans="1:26" ht="15.75" customHeight="1" x14ac:dyDescent="0.3"/>
    <row r="315" spans="1:26" ht="15.75" customHeight="1" x14ac:dyDescent="0.3"/>
    <row r="316" spans="1:26" ht="15.75" customHeight="1" x14ac:dyDescent="0.3"/>
    <row r="317" spans="1:26" ht="15.75" customHeight="1" x14ac:dyDescent="0.3"/>
    <row r="318" spans="1:26" ht="15.75" customHeight="1" x14ac:dyDescent="0.3"/>
    <row r="319" spans="1:26" ht="15.75" customHeight="1" x14ac:dyDescent="0.3"/>
    <row r="320" spans="1:26"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1">
    <mergeCell ref="G37:L37"/>
    <mergeCell ref="G49:L49"/>
    <mergeCell ref="D73:F73"/>
    <mergeCell ref="D152:F152"/>
    <mergeCell ref="B4:D4"/>
    <mergeCell ref="B5:D5"/>
    <mergeCell ref="B6:J6"/>
    <mergeCell ref="B7:D7"/>
    <mergeCell ref="B8:J8"/>
    <mergeCell ref="G11:L11"/>
    <mergeCell ref="G24:L24"/>
  </mergeCells>
  <dataValidations count="1">
    <dataValidation type="list" allowBlank="1" showErrorMessage="1" sqref="D63" xr:uid="{00000000-0002-0000-0600-000000000000}">
      <formula1>"High,Medium,Low"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outlinePr summaryBelow="0" summaryRight="0"/>
  </sheetPr>
  <dimension ref="A1:Z1000"/>
  <sheetViews>
    <sheetView workbookViewId="0"/>
  </sheetViews>
  <sheetFormatPr defaultColWidth="14.3984375" defaultRowHeight="15" customHeight="1" x14ac:dyDescent="0.3"/>
  <cols>
    <col min="1" max="1" width="12.69921875" customWidth="1"/>
    <col min="2" max="2" width="74.8984375" customWidth="1"/>
    <col min="3" max="3" width="11.3984375" customWidth="1"/>
    <col min="4" max="4" width="19.8984375" customWidth="1"/>
    <col min="5" max="5" width="18" customWidth="1"/>
    <col min="6" max="6" width="15.8984375" customWidth="1"/>
    <col min="7" max="7" width="22.09765625" customWidth="1"/>
    <col min="8" max="8" width="15.3984375" customWidth="1"/>
    <col min="9" max="9" width="32.8984375" customWidth="1"/>
    <col min="10" max="10" width="16.3984375" customWidth="1"/>
    <col min="11" max="11" width="17.69921875" customWidth="1"/>
    <col min="12" max="12" width="17.3984375" customWidth="1"/>
    <col min="13" max="13" width="16.3984375" customWidth="1"/>
    <col min="14" max="14" width="16.296875" customWidth="1"/>
    <col min="15" max="15" width="16.3984375" customWidth="1"/>
    <col min="16" max="16" width="18"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182</v>
      </c>
      <c r="C2" s="32"/>
      <c r="D2" s="33" t="s">
        <v>183</v>
      </c>
      <c r="E2" s="77"/>
      <c r="F2" s="79"/>
      <c r="G2" s="32"/>
      <c r="H2" s="32"/>
      <c r="I2" s="32"/>
      <c r="J2" s="32"/>
      <c r="K2" s="32"/>
      <c r="L2" s="50"/>
      <c r="M2" s="50"/>
      <c r="N2" s="50"/>
      <c r="O2" s="50"/>
      <c r="P2" s="50"/>
      <c r="Q2" s="50"/>
      <c r="R2" s="50"/>
      <c r="S2" s="50"/>
      <c r="T2" s="50"/>
      <c r="U2" s="50"/>
      <c r="V2" s="50"/>
      <c r="W2" s="50"/>
      <c r="X2" s="50"/>
      <c r="Y2" s="50"/>
      <c r="Z2" s="50"/>
    </row>
    <row r="3" spans="1:26" ht="15.5" x14ac:dyDescent="0.35">
      <c r="A3" s="50"/>
      <c r="B3" s="31"/>
      <c r="C3" s="32"/>
      <c r="D3" s="79"/>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5"/>
      <c r="E4" s="79"/>
      <c r="F4" s="79"/>
      <c r="G4" s="32"/>
      <c r="H4" s="32"/>
      <c r="I4" s="32"/>
      <c r="J4" s="32"/>
      <c r="K4" s="32"/>
      <c r="L4" s="50"/>
      <c r="M4" s="50"/>
      <c r="N4" s="50"/>
      <c r="O4" s="50"/>
      <c r="P4" s="50"/>
      <c r="Q4" s="50"/>
      <c r="R4" s="50"/>
      <c r="S4" s="50"/>
      <c r="T4" s="50"/>
      <c r="U4" s="50"/>
      <c r="V4" s="50"/>
      <c r="W4" s="50"/>
      <c r="X4" s="50"/>
      <c r="Y4" s="50"/>
      <c r="Z4" s="50"/>
    </row>
    <row r="5" spans="1:26" ht="15.5" x14ac:dyDescent="0.35">
      <c r="A5" s="50"/>
      <c r="B5" s="569" t="s">
        <v>79</v>
      </c>
      <c r="C5" s="546"/>
      <c r="D5" s="558"/>
      <c r="E5" s="32"/>
      <c r="F5" s="32"/>
      <c r="G5" s="32"/>
      <c r="H5" s="32"/>
      <c r="I5" s="32"/>
      <c r="J5" s="32"/>
      <c r="K5" s="32"/>
      <c r="L5" s="50"/>
      <c r="M5" s="50"/>
      <c r="N5" s="50"/>
      <c r="O5" s="50"/>
      <c r="P5" s="50"/>
      <c r="Q5" s="50"/>
      <c r="R5" s="50"/>
      <c r="S5" s="50"/>
      <c r="T5" s="50"/>
      <c r="U5" s="50"/>
      <c r="V5" s="50"/>
      <c r="W5" s="50"/>
      <c r="X5" s="50"/>
      <c r="Y5" s="50"/>
      <c r="Z5" s="50"/>
    </row>
    <row r="6" spans="1:26" ht="45" customHeight="1" x14ac:dyDescent="0.35">
      <c r="A6" s="50"/>
      <c r="B6" s="570" t="s">
        <v>184</v>
      </c>
      <c r="C6" s="536"/>
      <c r="D6" s="571"/>
      <c r="E6" s="32"/>
      <c r="F6" s="32"/>
      <c r="G6" s="32"/>
      <c r="H6" s="32"/>
      <c r="I6" s="32"/>
      <c r="J6" s="32"/>
      <c r="K6" s="32"/>
      <c r="L6" s="50"/>
      <c r="M6" s="50"/>
      <c r="N6" s="50"/>
      <c r="O6" s="50"/>
      <c r="P6" s="50"/>
      <c r="Q6" s="50"/>
      <c r="R6" s="50"/>
      <c r="S6" s="50"/>
      <c r="T6" s="50"/>
      <c r="U6" s="50"/>
      <c r="V6" s="50"/>
      <c r="W6" s="50"/>
      <c r="X6" s="50"/>
      <c r="Y6" s="50"/>
      <c r="Z6" s="50"/>
    </row>
    <row r="7" spans="1:26" ht="15.5" x14ac:dyDescent="0.35">
      <c r="A7" s="50"/>
      <c r="B7" s="569" t="s">
        <v>185</v>
      </c>
      <c r="C7" s="546"/>
      <c r="D7" s="558"/>
      <c r="E7" s="32"/>
      <c r="F7" s="32"/>
      <c r="G7" s="32"/>
      <c r="H7" s="32"/>
      <c r="I7" s="32"/>
      <c r="J7" s="32"/>
      <c r="K7" s="32"/>
      <c r="L7" s="50"/>
      <c r="M7" s="50"/>
      <c r="N7" s="50"/>
      <c r="O7" s="50"/>
      <c r="P7" s="50"/>
      <c r="Q7" s="50"/>
      <c r="R7" s="50"/>
      <c r="S7" s="50"/>
      <c r="T7" s="50"/>
      <c r="U7" s="50"/>
      <c r="V7" s="50"/>
      <c r="W7" s="50"/>
      <c r="X7" s="50"/>
      <c r="Y7" s="50"/>
      <c r="Z7" s="50"/>
    </row>
    <row r="8" spans="1:26" ht="39" customHeight="1" x14ac:dyDescent="0.35">
      <c r="A8" s="50"/>
      <c r="B8" s="572" t="s">
        <v>186</v>
      </c>
      <c r="C8" s="573"/>
      <c r="D8" s="574"/>
      <c r="E8" s="575"/>
      <c r="F8" s="546"/>
      <c r="G8" s="534"/>
      <c r="H8" s="32"/>
      <c r="I8" s="32"/>
      <c r="J8" s="32"/>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165" t="s">
        <v>85</v>
      </c>
      <c r="C10" s="166"/>
      <c r="D10" s="166"/>
      <c r="E10" s="167"/>
      <c r="F10" s="167"/>
      <c r="G10" s="166" t="s">
        <v>187</v>
      </c>
      <c r="H10" s="167"/>
      <c r="I10" s="168"/>
      <c r="J10" s="50"/>
      <c r="K10" s="50"/>
      <c r="L10" s="50"/>
      <c r="M10" s="50"/>
      <c r="N10" s="50"/>
      <c r="O10" s="50"/>
      <c r="P10" s="50"/>
      <c r="Q10" s="50"/>
      <c r="R10" s="50"/>
      <c r="S10" s="50"/>
      <c r="T10" s="50"/>
      <c r="U10" s="50"/>
      <c r="V10" s="50"/>
      <c r="W10" s="50"/>
      <c r="X10" s="50"/>
      <c r="Y10" s="50"/>
      <c r="Z10" s="50"/>
    </row>
    <row r="11" spans="1:26" ht="15.75" customHeight="1" x14ac:dyDescent="0.35">
      <c r="A11" s="50"/>
      <c r="B11" s="169" t="s">
        <v>188</v>
      </c>
      <c r="C11" s="47" t="s">
        <v>109</v>
      </c>
      <c r="D11" s="170">
        <v>4.5100000000000001E-2</v>
      </c>
      <c r="E11" s="50"/>
      <c r="F11" s="50"/>
      <c r="G11" s="576" t="s">
        <v>189</v>
      </c>
      <c r="H11" s="534"/>
      <c r="I11" s="115"/>
      <c r="J11" s="50"/>
      <c r="K11" s="50"/>
      <c r="L11" s="50"/>
      <c r="M11" s="50"/>
      <c r="N11" s="50"/>
      <c r="O11" s="50"/>
      <c r="P11" s="50"/>
      <c r="Q11" s="50"/>
      <c r="R11" s="50"/>
      <c r="S11" s="50"/>
      <c r="T11" s="50"/>
      <c r="U11" s="50"/>
      <c r="V11" s="50"/>
      <c r="W11" s="50"/>
      <c r="X11" s="50"/>
      <c r="Y11" s="50"/>
      <c r="Z11" s="50"/>
    </row>
    <row r="12" spans="1:26" ht="15.75" customHeight="1" x14ac:dyDescent="0.35">
      <c r="A12" s="50"/>
      <c r="B12" s="169" t="s">
        <v>111</v>
      </c>
      <c r="C12" s="47" t="s">
        <v>109</v>
      </c>
      <c r="D12" s="170">
        <v>0.01</v>
      </c>
      <c r="E12" s="50"/>
      <c r="F12" s="50"/>
      <c r="G12" s="50" t="s">
        <v>190</v>
      </c>
      <c r="H12" s="50"/>
      <c r="I12" s="115"/>
      <c r="J12" s="50"/>
      <c r="K12" s="50"/>
      <c r="L12" s="50"/>
      <c r="M12" s="50"/>
      <c r="N12" s="50"/>
      <c r="O12" s="50"/>
      <c r="P12" s="50"/>
      <c r="Q12" s="50"/>
      <c r="R12" s="50"/>
      <c r="S12" s="50"/>
      <c r="T12" s="50"/>
      <c r="U12" s="50"/>
      <c r="V12" s="50"/>
      <c r="W12" s="50"/>
      <c r="X12" s="50"/>
      <c r="Y12" s="50"/>
      <c r="Z12" s="50"/>
    </row>
    <row r="13" spans="1:26" ht="15.75" customHeight="1" x14ac:dyDescent="0.35">
      <c r="A13" s="50"/>
      <c r="B13" s="169" t="s">
        <v>113</v>
      </c>
      <c r="C13" s="47" t="s">
        <v>109</v>
      </c>
      <c r="D13" s="98" t="s">
        <v>114</v>
      </c>
      <c r="E13" s="50"/>
      <c r="F13" s="50"/>
      <c r="G13" s="50" t="s">
        <v>191</v>
      </c>
      <c r="H13" s="50"/>
      <c r="I13" s="115"/>
      <c r="J13" s="50"/>
      <c r="K13" s="50"/>
      <c r="L13" s="50"/>
      <c r="M13" s="50"/>
      <c r="N13" s="50"/>
      <c r="O13" s="50"/>
      <c r="P13" s="50"/>
      <c r="Q13" s="50"/>
      <c r="R13" s="50"/>
      <c r="S13" s="50"/>
      <c r="T13" s="50"/>
      <c r="U13" s="50"/>
      <c r="V13" s="50"/>
      <c r="W13" s="50"/>
      <c r="X13" s="50"/>
      <c r="Y13" s="50"/>
      <c r="Z13" s="50"/>
    </row>
    <row r="14" spans="1:26" ht="15.75" customHeight="1" x14ac:dyDescent="0.35">
      <c r="A14" s="50"/>
      <c r="B14" s="169" t="s">
        <v>116</v>
      </c>
      <c r="C14" s="47" t="s">
        <v>109</v>
      </c>
      <c r="D14" s="171">
        <f>VLOOKUP(D13,B15:D17,3,FALSE)</f>
        <v>0.05</v>
      </c>
      <c r="E14" s="50"/>
      <c r="F14" s="50"/>
      <c r="G14" s="50" t="s">
        <v>117</v>
      </c>
      <c r="H14" s="50"/>
      <c r="I14" s="115"/>
      <c r="J14" s="50"/>
      <c r="K14" s="50"/>
      <c r="L14" s="50"/>
      <c r="M14" s="50"/>
      <c r="N14" s="50"/>
      <c r="O14" s="50"/>
      <c r="P14" s="50"/>
      <c r="Q14" s="50"/>
      <c r="R14" s="50"/>
      <c r="S14" s="50"/>
      <c r="T14" s="50"/>
      <c r="U14" s="50"/>
      <c r="V14" s="50"/>
      <c r="W14" s="50"/>
      <c r="X14" s="50"/>
      <c r="Y14" s="50"/>
      <c r="Z14" s="50"/>
    </row>
    <row r="15" spans="1:26" ht="15.75" customHeight="1" x14ac:dyDescent="0.35">
      <c r="A15" s="50"/>
      <c r="B15" s="172" t="s">
        <v>114</v>
      </c>
      <c r="C15" s="54" t="s">
        <v>109</v>
      </c>
      <c r="D15" s="173">
        <v>0.05</v>
      </c>
      <c r="E15" s="50"/>
      <c r="F15" s="50"/>
      <c r="G15" s="50" t="s">
        <v>192</v>
      </c>
      <c r="H15" s="50"/>
      <c r="I15" s="115"/>
      <c r="J15" s="50"/>
      <c r="K15" s="50"/>
      <c r="L15" s="50"/>
      <c r="M15" s="50"/>
      <c r="N15" s="50"/>
      <c r="O15" s="50"/>
      <c r="P15" s="50"/>
      <c r="Q15" s="50"/>
      <c r="R15" s="50"/>
      <c r="S15" s="50"/>
      <c r="T15" s="50"/>
      <c r="U15" s="50"/>
      <c r="V15" s="50"/>
      <c r="W15" s="50"/>
      <c r="X15" s="50"/>
      <c r="Y15" s="50"/>
      <c r="Z15" s="50"/>
    </row>
    <row r="16" spans="1:26" ht="15.75" customHeight="1" x14ac:dyDescent="0.35">
      <c r="A16" s="50"/>
      <c r="B16" s="172" t="s">
        <v>119</v>
      </c>
      <c r="C16" s="54" t="s">
        <v>109</v>
      </c>
      <c r="D16" s="173">
        <v>0.03</v>
      </c>
      <c r="E16" s="50"/>
      <c r="F16" s="50"/>
      <c r="G16" s="50" t="s">
        <v>192</v>
      </c>
      <c r="H16" s="50"/>
      <c r="I16" s="115"/>
      <c r="J16" s="50"/>
      <c r="K16" s="50"/>
      <c r="L16" s="50"/>
      <c r="M16" s="50"/>
      <c r="N16" s="50"/>
      <c r="O16" s="50"/>
      <c r="P16" s="50"/>
      <c r="Q16" s="50"/>
      <c r="R16" s="50"/>
      <c r="S16" s="50"/>
      <c r="T16" s="50"/>
      <c r="U16" s="50"/>
      <c r="V16" s="50"/>
      <c r="W16" s="50"/>
      <c r="X16" s="50"/>
      <c r="Y16" s="50"/>
      <c r="Z16" s="50"/>
    </row>
    <row r="17" spans="1:26" ht="15.75" customHeight="1" x14ac:dyDescent="0.35">
      <c r="A17" s="50"/>
      <c r="B17" s="172" t="s">
        <v>121</v>
      </c>
      <c r="C17" s="54" t="s">
        <v>109</v>
      </c>
      <c r="D17" s="173">
        <v>0.01</v>
      </c>
      <c r="E17" s="50"/>
      <c r="F17" s="50"/>
      <c r="G17" s="50" t="s">
        <v>192</v>
      </c>
      <c r="H17" s="50"/>
      <c r="I17" s="115"/>
      <c r="J17" s="50"/>
      <c r="K17" s="50"/>
      <c r="L17" s="50"/>
      <c r="M17" s="50"/>
      <c r="N17" s="50"/>
      <c r="O17" s="50"/>
      <c r="P17" s="50"/>
      <c r="Q17" s="50"/>
      <c r="R17" s="50"/>
      <c r="S17" s="50"/>
      <c r="T17" s="50"/>
      <c r="U17" s="50"/>
      <c r="V17" s="50"/>
      <c r="W17" s="50"/>
      <c r="X17" s="50"/>
      <c r="Y17" s="50"/>
      <c r="Z17" s="50"/>
    </row>
    <row r="18" spans="1:26" ht="15.75" customHeight="1" x14ac:dyDescent="0.35">
      <c r="A18" s="50"/>
      <c r="B18" s="169" t="s">
        <v>125</v>
      </c>
      <c r="C18" s="47" t="s">
        <v>109</v>
      </c>
      <c r="D18" s="174">
        <v>0</v>
      </c>
      <c r="E18" s="50"/>
      <c r="F18" s="50"/>
      <c r="G18" s="50" t="s">
        <v>193</v>
      </c>
      <c r="H18" s="50"/>
      <c r="I18" s="115"/>
      <c r="J18" s="50"/>
      <c r="K18" s="50"/>
      <c r="L18" s="50"/>
      <c r="M18" s="50"/>
      <c r="N18" s="50"/>
      <c r="O18" s="50"/>
      <c r="P18" s="50"/>
      <c r="Q18" s="50"/>
      <c r="R18" s="50"/>
      <c r="S18" s="50"/>
      <c r="T18" s="50"/>
      <c r="U18" s="50"/>
      <c r="V18" s="50"/>
      <c r="W18" s="50"/>
      <c r="X18" s="50"/>
      <c r="Y18" s="50"/>
      <c r="Z18" s="50"/>
    </row>
    <row r="19" spans="1:26" ht="15.75" customHeight="1" x14ac:dyDescent="0.35">
      <c r="A19" s="50"/>
      <c r="B19" s="175" t="s">
        <v>194</v>
      </c>
      <c r="C19" s="47"/>
      <c r="D19" s="174">
        <v>5.0000000000000001E-3</v>
      </c>
      <c r="E19" s="50"/>
      <c r="F19" s="50"/>
      <c r="G19" s="50" t="s">
        <v>195</v>
      </c>
      <c r="H19" s="50"/>
      <c r="I19" s="115"/>
      <c r="J19" s="50"/>
      <c r="K19" s="50"/>
      <c r="L19" s="50"/>
      <c r="M19" s="50"/>
      <c r="N19" s="50"/>
      <c r="O19" s="50"/>
      <c r="P19" s="50"/>
      <c r="Q19" s="50"/>
      <c r="R19" s="50"/>
      <c r="S19" s="50"/>
      <c r="T19" s="50"/>
      <c r="U19" s="50"/>
      <c r="V19" s="50"/>
      <c r="W19" s="50"/>
      <c r="X19" s="50"/>
      <c r="Y19" s="50"/>
      <c r="Z19" s="50"/>
    </row>
    <row r="20" spans="1:26" ht="15.75" customHeight="1" x14ac:dyDescent="0.35">
      <c r="A20" s="50"/>
      <c r="B20" s="169" t="s">
        <v>127</v>
      </c>
      <c r="C20" s="47"/>
      <c r="D20" s="111">
        <v>0.1</v>
      </c>
      <c r="E20" s="50"/>
      <c r="F20" s="50"/>
      <c r="G20" s="50"/>
      <c r="H20" s="50"/>
      <c r="I20" s="115"/>
      <c r="J20" s="50"/>
      <c r="K20" s="50"/>
      <c r="L20" s="50"/>
      <c r="M20" s="50"/>
      <c r="N20" s="50"/>
      <c r="O20" s="50"/>
      <c r="P20" s="50"/>
      <c r="Q20" s="50"/>
      <c r="R20" s="50"/>
      <c r="S20" s="50"/>
      <c r="T20" s="50"/>
      <c r="U20" s="50"/>
      <c r="V20" s="50"/>
      <c r="W20" s="50"/>
      <c r="X20" s="50"/>
      <c r="Y20" s="50"/>
      <c r="Z20" s="50"/>
    </row>
    <row r="21" spans="1:26" ht="15.75" customHeight="1" x14ac:dyDescent="0.35">
      <c r="A21" s="50"/>
      <c r="B21" s="175"/>
      <c r="C21" s="47"/>
      <c r="D21" s="174"/>
      <c r="E21" s="50"/>
      <c r="F21" s="50"/>
      <c r="G21" s="50"/>
      <c r="H21" s="50"/>
      <c r="I21" s="115"/>
      <c r="J21" s="50"/>
      <c r="K21" s="50"/>
      <c r="L21" s="50"/>
      <c r="M21" s="50"/>
      <c r="N21" s="50"/>
      <c r="O21" s="50"/>
      <c r="P21" s="50"/>
      <c r="Q21" s="50"/>
      <c r="R21" s="50"/>
      <c r="S21" s="50"/>
      <c r="T21" s="50"/>
      <c r="U21" s="50"/>
      <c r="V21" s="50"/>
      <c r="W21" s="50"/>
      <c r="X21" s="50"/>
      <c r="Y21" s="50"/>
      <c r="Z21" s="50"/>
    </row>
    <row r="22" spans="1:26" ht="15.75" customHeight="1" x14ac:dyDescent="0.35">
      <c r="A22" s="50"/>
      <c r="B22" s="46" t="s">
        <v>196</v>
      </c>
      <c r="C22" s="47"/>
      <c r="D22" s="176">
        <v>2019</v>
      </c>
      <c r="E22" s="176">
        <v>2020</v>
      </c>
      <c r="F22" s="176">
        <v>2021</v>
      </c>
      <c r="G22" s="50"/>
      <c r="H22" s="50"/>
      <c r="I22" s="115"/>
      <c r="J22" s="50"/>
      <c r="K22" s="50"/>
      <c r="L22" s="50"/>
      <c r="M22" s="50"/>
      <c r="N22" s="50"/>
      <c r="O22" s="50"/>
      <c r="P22" s="50"/>
      <c r="Q22" s="50"/>
      <c r="R22" s="50"/>
      <c r="S22" s="50"/>
      <c r="T22" s="50"/>
      <c r="U22" s="50"/>
      <c r="V22" s="50"/>
      <c r="W22" s="50"/>
      <c r="X22" s="50"/>
      <c r="Y22" s="50"/>
      <c r="Z22" s="50"/>
    </row>
    <row r="23" spans="1:26" ht="15.75" customHeight="1" x14ac:dyDescent="0.35">
      <c r="A23" s="50"/>
      <c r="B23" s="53" t="s">
        <v>145</v>
      </c>
      <c r="C23" s="47" t="s">
        <v>94</v>
      </c>
      <c r="D23" s="48">
        <v>24519</v>
      </c>
      <c r="E23" s="90">
        <v>18309</v>
      </c>
      <c r="F23" s="90">
        <v>22822</v>
      </c>
      <c r="G23" s="50" t="s">
        <v>197</v>
      </c>
      <c r="H23" s="50"/>
      <c r="I23" s="115"/>
      <c r="J23" s="50"/>
      <c r="K23" s="50"/>
      <c r="L23" s="50"/>
      <c r="M23" s="50"/>
      <c r="N23" s="50"/>
      <c r="O23" s="50"/>
      <c r="P23" s="50"/>
      <c r="Q23" s="50"/>
      <c r="R23" s="50"/>
      <c r="S23" s="50"/>
      <c r="T23" s="50"/>
      <c r="U23" s="50"/>
      <c r="V23" s="50"/>
      <c r="W23" s="50"/>
      <c r="X23" s="50"/>
      <c r="Y23" s="50"/>
      <c r="Z23" s="50"/>
    </row>
    <row r="24" spans="1:26" ht="15.75" customHeight="1" x14ac:dyDescent="0.35">
      <c r="A24" s="50"/>
      <c r="B24" s="53" t="s">
        <v>146</v>
      </c>
      <c r="C24" s="47" t="s">
        <v>94</v>
      </c>
      <c r="D24" s="48">
        <v>1571</v>
      </c>
      <c r="E24" s="90">
        <v>1295</v>
      </c>
      <c r="F24" s="90">
        <v>795</v>
      </c>
      <c r="G24" s="50"/>
      <c r="H24" s="50"/>
      <c r="I24" s="115"/>
      <c r="J24" s="50"/>
      <c r="K24" s="50"/>
      <c r="L24" s="50"/>
      <c r="M24" s="50"/>
      <c r="N24" s="50"/>
      <c r="O24" s="50"/>
      <c r="P24" s="50"/>
      <c r="Q24" s="50"/>
      <c r="R24" s="50"/>
      <c r="S24" s="50"/>
      <c r="T24" s="50"/>
      <c r="U24" s="50"/>
      <c r="V24" s="50"/>
      <c r="W24" s="50"/>
      <c r="X24" s="50"/>
      <c r="Y24" s="50"/>
      <c r="Z24" s="50"/>
    </row>
    <row r="25" spans="1:26" ht="15.75" customHeight="1" x14ac:dyDescent="0.35">
      <c r="A25" s="50"/>
      <c r="B25" s="53" t="s">
        <v>147</v>
      </c>
      <c r="C25" s="47" t="s">
        <v>94</v>
      </c>
      <c r="D25" s="48">
        <v>852</v>
      </c>
      <c r="E25" s="90">
        <v>1056</v>
      </c>
      <c r="F25" s="90">
        <v>1211</v>
      </c>
      <c r="G25" s="50"/>
      <c r="H25" s="50"/>
      <c r="I25" s="115"/>
      <c r="J25" s="50"/>
      <c r="K25" s="50"/>
      <c r="L25" s="50"/>
      <c r="M25" s="50"/>
      <c r="N25" s="50"/>
      <c r="O25" s="50"/>
      <c r="P25" s="50"/>
      <c r="Q25" s="50"/>
      <c r="R25" s="50"/>
      <c r="S25" s="50"/>
      <c r="T25" s="50"/>
      <c r="U25" s="50"/>
      <c r="V25" s="50"/>
      <c r="W25" s="50"/>
      <c r="X25" s="50"/>
      <c r="Y25" s="50"/>
      <c r="Z25" s="50"/>
    </row>
    <row r="26" spans="1:26" ht="15.75" customHeight="1" x14ac:dyDescent="0.35">
      <c r="A26" s="50"/>
      <c r="B26" s="53" t="s">
        <v>148</v>
      </c>
      <c r="C26" s="47" t="s">
        <v>94</v>
      </c>
      <c r="D26" s="48">
        <v>0</v>
      </c>
      <c r="E26" s="90">
        <v>0</v>
      </c>
      <c r="F26" s="90">
        <v>6</v>
      </c>
      <c r="G26" s="50"/>
      <c r="H26" s="50"/>
      <c r="I26" s="115"/>
      <c r="J26" s="50"/>
      <c r="K26" s="50"/>
      <c r="L26" s="50"/>
      <c r="M26" s="50"/>
      <c r="N26" s="50"/>
      <c r="O26" s="50"/>
      <c r="P26" s="50"/>
      <c r="Q26" s="50"/>
      <c r="R26" s="50"/>
      <c r="S26" s="50"/>
      <c r="T26" s="50"/>
      <c r="U26" s="50"/>
      <c r="V26" s="50"/>
      <c r="W26" s="50"/>
      <c r="X26" s="50"/>
      <c r="Y26" s="50"/>
      <c r="Z26" s="50"/>
    </row>
    <row r="27" spans="1:26" ht="15.75" customHeight="1" x14ac:dyDescent="0.35">
      <c r="A27" s="50"/>
      <c r="B27" s="53" t="s">
        <v>149</v>
      </c>
      <c r="C27" s="47" t="s">
        <v>94</v>
      </c>
      <c r="D27" s="48">
        <v>1085</v>
      </c>
      <c r="E27" s="90">
        <v>1011</v>
      </c>
      <c r="F27" s="90">
        <v>558</v>
      </c>
      <c r="G27" s="50"/>
      <c r="H27" s="50"/>
      <c r="I27" s="115"/>
      <c r="J27" s="50"/>
      <c r="K27" s="50"/>
      <c r="L27" s="50"/>
      <c r="M27" s="50"/>
      <c r="N27" s="50"/>
      <c r="O27" s="50"/>
      <c r="P27" s="50"/>
      <c r="Q27" s="50"/>
      <c r="R27" s="50"/>
      <c r="S27" s="50"/>
      <c r="T27" s="50"/>
      <c r="U27" s="50"/>
      <c r="V27" s="50"/>
      <c r="W27" s="50"/>
      <c r="X27" s="50"/>
      <c r="Y27" s="50"/>
      <c r="Z27" s="50"/>
    </row>
    <row r="28" spans="1:26" ht="15.75" customHeight="1" x14ac:dyDescent="0.35">
      <c r="A28" s="50"/>
      <c r="B28" s="53" t="s">
        <v>198</v>
      </c>
      <c r="C28" s="47" t="s">
        <v>94</v>
      </c>
      <c r="D28" s="48">
        <v>2189</v>
      </c>
      <c r="E28" s="90">
        <v>1080</v>
      </c>
      <c r="F28" s="90">
        <v>501</v>
      </c>
      <c r="G28" s="50"/>
      <c r="H28" s="50"/>
      <c r="I28" s="115"/>
      <c r="J28" s="50"/>
      <c r="K28" s="50"/>
      <c r="L28" s="50"/>
      <c r="M28" s="50"/>
      <c r="N28" s="50"/>
      <c r="O28" s="50"/>
      <c r="P28" s="50"/>
      <c r="Q28" s="50"/>
      <c r="R28" s="50"/>
      <c r="S28" s="50"/>
      <c r="T28" s="50"/>
      <c r="U28" s="50"/>
      <c r="V28" s="50"/>
      <c r="W28" s="50"/>
      <c r="X28" s="50"/>
      <c r="Y28" s="50"/>
      <c r="Z28" s="50"/>
    </row>
    <row r="29" spans="1:26" ht="15.75" customHeight="1" x14ac:dyDescent="0.35">
      <c r="A29" s="50"/>
      <c r="B29" s="53" t="s">
        <v>199</v>
      </c>
      <c r="C29" s="47" t="s">
        <v>94</v>
      </c>
      <c r="D29" s="48">
        <v>78</v>
      </c>
      <c r="E29" s="90">
        <v>54</v>
      </c>
      <c r="F29" s="90">
        <v>420</v>
      </c>
      <c r="G29" s="50"/>
      <c r="H29" s="50"/>
      <c r="I29" s="115"/>
      <c r="J29" s="50"/>
      <c r="K29" s="50"/>
      <c r="L29" s="50"/>
      <c r="M29" s="50"/>
      <c r="N29" s="50"/>
      <c r="O29" s="50"/>
      <c r="P29" s="50"/>
      <c r="Q29" s="50"/>
      <c r="R29" s="50"/>
      <c r="S29" s="50"/>
      <c r="T29" s="50"/>
      <c r="U29" s="50"/>
      <c r="V29" s="50"/>
      <c r="W29" s="50"/>
      <c r="X29" s="50"/>
      <c r="Y29" s="50"/>
      <c r="Z29" s="50"/>
    </row>
    <row r="30" spans="1:26" ht="15.75" customHeight="1" x14ac:dyDescent="0.35">
      <c r="A30" s="50"/>
      <c r="B30" s="53" t="s">
        <v>152</v>
      </c>
      <c r="C30" s="47" t="s">
        <v>94</v>
      </c>
      <c r="D30" s="48">
        <v>529</v>
      </c>
      <c r="E30" s="90">
        <v>355</v>
      </c>
      <c r="F30" s="90">
        <v>38</v>
      </c>
      <c r="G30" s="50"/>
      <c r="H30" s="50"/>
      <c r="I30" s="115"/>
      <c r="J30" s="50"/>
      <c r="K30" s="50"/>
      <c r="L30" s="50"/>
      <c r="M30" s="50"/>
      <c r="N30" s="50"/>
      <c r="O30" s="50"/>
      <c r="P30" s="50"/>
      <c r="Q30" s="50"/>
      <c r="R30" s="50"/>
      <c r="S30" s="50"/>
      <c r="T30" s="50"/>
      <c r="U30" s="50"/>
      <c r="V30" s="50"/>
      <c r="W30" s="50"/>
      <c r="X30" s="50"/>
      <c r="Y30" s="50"/>
      <c r="Z30" s="50"/>
    </row>
    <row r="31" spans="1:26" ht="15.75" customHeight="1" x14ac:dyDescent="0.35">
      <c r="A31" s="50"/>
      <c r="B31" s="53" t="s">
        <v>153</v>
      </c>
      <c r="C31" s="47" t="s">
        <v>94</v>
      </c>
      <c r="D31" s="48">
        <v>3481</v>
      </c>
      <c r="E31" s="90">
        <v>1157</v>
      </c>
      <c r="F31" s="90">
        <v>12</v>
      </c>
      <c r="G31" s="50"/>
      <c r="H31" s="50"/>
      <c r="I31" s="115"/>
      <c r="J31" s="50"/>
      <c r="K31" s="50"/>
      <c r="L31" s="50"/>
      <c r="M31" s="50"/>
      <c r="N31" s="50"/>
      <c r="O31" s="50"/>
      <c r="P31" s="50"/>
      <c r="Q31" s="50"/>
      <c r="R31" s="50"/>
      <c r="S31" s="50"/>
      <c r="T31" s="50"/>
      <c r="U31" s="50"/>
      <c r="V31" s="50"/>
      <c r="W31" s="50"/>
      <c r="X31" s="50"/>
      <c r="Y31" s="50"/>
      <c r="Z31" s="50"/>
    </row>
    <row r="32" spans="1:26" ht="15.75" customHeight="1" x14ac:dyDescent="0.35">
      <c r="A32" s="50"/>
      <c r="B32" s="53" t="s">
        <v>154</v>
      </c>
      <c r="C32" s="47" t="s">
        <v>94</v>
      </c>
      <c r="D32" s="48">
        <v>0</v>
      </c>
      <c r="E32" s="90">
        <v>0</v>
      </c>
      <c r="F32" s="90">
        <v>0</v>
      </c>
      <c r="G32" s="50"/>
      <c r="H32" s="50"/>
      <c r="I32" s="115"/>
      <c r="J32" s="50"/>
      <c r="K32" s="50"/>
      <c r="L32" s="50"/>
      <c r="M32" s="50"/>
      <c r="N32" s="50"/>
      <c r="O32" s="50"/>
      <c r="P32" s="50"/>
      <c r="Q32" s="50"/>
      <c r="R32" s="50"/>
      <c r="S32" s="50"/>
      <c r="T32" s="50"/>
      <c r="U32" s="50"/>
      <c r="V32" s="50"/>
      <c r="W32" s="50"/>
      <c r="X32" s="50"/>
      <c r="Y32" s="50"/>
      <c r="Z32" s="50"/>
    </row>
    <row r="33" spans="1:26" ht="15.75" customHeight="1" x14ac:dyDescent="0.35">
      <c r="A33" s="50"/>
      <c r="B33" s="53" t="s">
        <v>155</v>
      </c>
      <c r="C33" s="47" t="s">
        <v>94</v>
      </c>
      <c r="D33" s="90">
        <v>0</v>
      </c>
      <c r="E33" s="90">
        <v>0</v>
      </c>
      <c r="F33" s="90">
        <v>0</v>
      </c>
      <c r="G33" s="50"/>
      <c r="H33" s="50"/>
      <c r="I33" s="115"/>
      <c r="J33" s="50"/>
      <c r="K33" s="50"/>
      <c r="L33" s="50"/>
      <c r="M33" s="50"/>
      <c r="N33" s="50"/>
      <c r="O33" s="50"/>
      <c r="P33" s="50"/>
      <c r="Q33" s="50"/>
      <c r="R33" s="50"/>
      <c r="S33" s="50"/>
      <c r="T33" s="50"/>
      <c r="U33" s="50"/>
      <c r="V33" s="50"/>
      <c r="W33" s="50"/>
      <c r="X33" s="50"/>
      <c r="Y33" s="50"/>
      <c r="Z33" s="50"/>
    </row>
    <row r="34" spans="1:26" ht="15.75" customHeight="1" x14ac:dyDescent="0.35">
      <c r="A34" s="50"/>
      <c r="B34" s="53" t="s">
        <v>156</v>
      </c>
      <c r="C34" s="47" t="s">
        <v>94</v>
      </c>
      <c r="D34" s="90">
        <v>0</v>
      </c>
      <c r="E34" s="90">
        <v>67</v>
      </c>
      <c r="F34" s="90">
        <v>0</v>
      </c>
      <c r="G34" s="50"/>
      <c r="H34" s="50"/>
      <c r="I34" s="115"/>
      <c r="J34" s="50"/>
      <c r="K34" s="50"/>
      <c r="L34" s="50"/>
      <c r="M34" s="50"/>
      <c r="N34" s="50"/>
      <c r="O34" s="50"/>
      <c r="P34" s="50"/>
      <c r="Q34" s="50"/>
      <c r="R34" s="50"/>
      <c r="S34" s="50"/>
      <c r="T34" s="50"/>
      <c r="U34" s="50"/>
      <c r="V34" s="50"/>
      <c r="W34" s="50"/>
      <c r="X34" s="50"/>
      <c r="Y34" s="50"/>
      <c r="Z34" s="50"/>
    </row>
    <row r="35" spans="1:26" ht="15.75" customHeight="1" x14ac:dyDescent="0.35">
      <c r="A35" s="50"/>
      <c r="B35" s="161" t="s">
        <v>96</v>
      </c>
      <c r="C35" s="47" t="s">
        <v>94</v>
      </c>
      <c r="D35" s="90">
        <v>0</v>
      </c>
      <c r="E35" s="90">
        <v>0</v>
      </c>
      <c r="F35" s="90">
        <v>0</v>
      </c>
      <c r="G35" s="50"/>
      <c r="H35" s="50"/>
      <c r="I35" s="115"/>
      <c r="J35" s="50"/>
      <c r="K35" s="50"/>
      <c r="L35" s="50"/>
      <c r="M35" s="50"/>
      <c r="N35" s="50"/>
      <c r="O35" s="50"/>
      <c r="P35" s="50"/>
      <c r="Q35" s="50"/>
      <c r="R35" s="50"/>
      <c r="S35" s="50"/>
      <c r="T35" s="50"/>
      <c r="U35" s="50"/>
      <c r="V35" s="50"/>
      <c r="W35" s="50"/>
      <c r="X35" s="50"/>
      <c r="Y35" s="50"/>
      <c r="Z35" s="50"/>
    </row>
    <row r="36" spans="1:26" ht="15.75" customHeight="1" x14ac:dyDescent="0.35">
      <c r="A36" s="50"/>
      <c r="B36" s="53" t="s">
        <v>158</v>
      </c>
      <c r="C36" s="47" t="s">
        <v>94</v>
      </c>
      <c r="D36" s="90">
        <v>0</v>
      </c>
      <c r="E36" s="90">
        <v>0</v>
      </c>
      <c r="F36" s="90">
        <v>0</v>
      </c>
      <c r="G36" s="50"/>
      <c r="H36" s="50"/>
      <c r="I36" s="115"/>
      <c r="J36" s="50"/>
      <c r="K36" s="50"/>
      <c r="L36" s="50"/>
      <c r="M36" s="50"/>
      <c r="N36" s="50"/>
      <c r="O36" s="50"/>
      <c r="P36" s="50"/>
      <c r="Q36" s="50"/>
      <c r="R36" s="50"/>
      <c r="S36" s="50"/>
      <c r="T36" s="50"/>
      <c r="U36" s="50"/>
      <c r="V36" s="50"/>
      <c r="W36" s="50"/>
      <c r="X36" s="50"/>
      <c r="Y36" s="50"/>
      <c r="Z36" s="50"/>
    </row>
    <row r="37" spans="1:26" ht="15.75" customHeight="1" x14ac:dyDescent="0.35">
      <c r="A37" s="50"/>
      <c r="B37" s="58" t="s">
        <v>200</v>
      </c>
      <c r="C37" s="47" t="s">
        <v>94</v>
      </c>
      <c r="D37" s="177">
        <f t="shared" ref="D37:F37" si="0">SUM(D23:D36)</f>
        <v>34304</v>
      </c>
      <c r="E37" s="177">
        <f t="shared" si="0"/>
        <v>24384</v>
      </c>
      <c r="F37" s="177">
        <f t="shared" si="0"/>
        <v>26363</v>
      </c>
      <c r="G37" s="50"/>
      <c r="H37" s="50"/>
      <c r="I37" s="115"/>
      <c r="J37" s="50"/>
      <c r="K37" s="50"/>
      <c r="L37" s="50"/>
      <c r="M37" s="50"/>
      <c r="N37" s="50"/>
      <c r="O37" s="50"/>
      <c r="P37" s="50"/>
      <c r="Q37" s="50"/>
      <c r="R37" s="50"/>
      <c r="S37" s="50"/>
      <c r="T37" s="50"/>
      <c r="U37" s="50"/>
      <c r="V37" s="50"/>
      <c r="W37" s="50"/>
      <c r="X37" s="50"/>
      <c r="Y37" s="50"/>
      <c r="Z37" s="50"/>
    </row>
    <row r="38" spans="1:26" ht="15.75" customHeight="1" x14ac:dyDescent="0.35">
      <c r="A38" s="50"/>
      <c r="B38" s="58"/>
      <c r="C38" s="47"/>
      <c r="D38" s="177"/>
      <c r="E38" s="177"/>
      <c r="F38" s="177"/>
      <c r="G38" s="50"/>
      <c r="H38" s="50"/>
      <c r="I38" s="115"/>
      <c r="J38" s="50"/>
      <c r="K38" s="50"/>
      <c r="L38" s="50"/>
      <c r="M38" s="50"/>
      <c r="N38" s="50"/>
      <c r="O38" s="50"/>
      <c r="P38" s="50"/>
      <c r="Q38" s="50"/>
      <c r="R38" s="50"/>
      <c r="S38" s="50"/>
      <c r="T38" s="50"/>
      <c r="U38" s="50"/>
      <c r="V38" s="50"/>
      <c r="W38" s="50"/>
      <c r="X38" s="50"/>
      <c r="Y38" s="50"/>
      <c r="Z38" s="50"/>
    </row>
    <row r="39" spans="1:26" ht="15.75" customHeight="1" x14ac:dyDescent="0.35">
      <c r="A39" s="50"/>
      <c r="B39" s="46" t="s">
        <v>201</v>
      </c>
      <c r="C39" s="47"/>
      <c r="D39" s="176">
        <v>2019</v>
      </c>
      <c r="E39" s="176">
        <v>2020</v>
      </c>
      <c r="F39" s="176">
        <v>2021</v>
      </c>
      <c r="G39" s="50"/>
      <c r="H39" s="50"/>
      <c r="I39" s="115"/>
      <c r="J39" s="50"/>
      <c r="K39" s="50"/>
      <c r="L39" s="50"/>
      <c r="M39" s="50"/>
      <c r="N39" s="50"/>
      <c r="O39" s="50"/>
      <c r="P39" s="50"/>
      <c r="Q39" s="50"/>
      <c r="R39" s="50"/>
      <c r="S39" s="50"/>
      <c r="T39" s="50"/>
      <c r="U39" s="50"/>
      <c r="V39" s="50"/>
      <c r="W39" s="50"/>
      <c r="X39" s="50"/>
      <c r="Y39" s="50"/>
      <c r="Z39" s="50"/>
    </row>
    <row r="40" spans="1:26" ht="15.75" customHeight="1" x14ac:dyDescent="0.35">
      <c r="A40" s="50"/>
      <c r="B40" s="53" t="s">
        <v>145</v>
      </c>
      <c r="C40" s="47" t="s">
        <v>202</v>
      </c>
      <c r="D40" s="178">
        <v>9.6184183694277898</v>
      </c>
      <c r="E40" s="179">
        <v>9.3946146703806868</v>
      </c>
      <c r="F40" s="179">
        <v>9.6201910437297347</v>
      </c>
      <c r="G40" s="50" t="s">
        <v>197</v>
      </c>
      <c r="H40" s="50"/>
      <c r="I40" s="115"/>
      <c r="J40" s="50"/>
      <c r="K40" s="50"/>
      <c r="L40" s="50"/>
      <c r="M40" s="50"/>
      <c r="N40" s="50"/>
      <c r="O40" s="50"/>
      <c r="P40" s="50"/>
      <c r="Q40" s="50"/>
      <c r="R40" s="50"/>
      <c r="S40" s="50"/>
      <c r="T40" s="50"/>
      <c r="U40" s="50"/>
      <c r="V40" s="50"/>
      <c r="W40" s="50"/>
      <c r="X40" s="50"/>
      <c r="Y40" s="50"/>
      <c r="Z40" s="50"/>
    </row>
    <row r="41" spans="1:26" ht="15.75" customHeight="1" x14ac:dyDescent="0.35">
      <c r="A41" s="50"/>
      <c r="B41" s="53" t="s">
        <v>146</v>
      </c>
      <c r="C41" s="47" t="s">
        <v>202</v>
      </c>
      <c r="D41" s="178">
        <v>54.070019096117122</v>
      </c>
      <c r="E41" s="179">
        <v>52.287258687258685</v>
      </c>
      <c r="F41" s="179">
        <v>53.769811320754719</v>
      </c>
      <c r="G41" s="50"/>
      <c r="H41" s="50"/>
      <c r="I41" s="115"/>
      <c r="J41" s="50"/>
      <c r="K41" s="50"/>
      <c r="L41" s="50"/>
      <c r="M41" s="50"/>
      <c r="N41" s="50"/>
      <c r="O41" s="50"/>
      <c r="P41" s="50"/>
      <c r="Q41" s="50"/>
      <c r="R41" s="50"/>
      <c r="S41" s="50"/>
      <c r="T41" s="50"/>
      <c r="U41" s="50"/>
      <c r="V41" s="50"/>
      <c r="W41" s="50"/>
      <c r="X41" s="50"/>
      <c r="Y41" s="50"/>
      <c r="Z41" s="50"/>
    </row>
    <row r="42" spans="1:26" ht="15.75" customHeight="1" x14ac:dyDescent="0.35">
      <c r="A42" s="50"/>
      <c r="B42" s="53" t="s">
        <v>147</v>
      </c>
      <c r="C42" s="47" t="s">
        <v>202</v>
      </c>
      <c r="D42" s="178">
        <v>362.71244131455398</v>
      </c>
      <c r="E42" s="179">
        <v>404.42613636363637</v>
      </c>
      <c r="F42" s="179">
        <v>389.72667217175888</v>
      </c>
      <c r="G42" s="50"/>
      <c r="H42" s="50"/>
      <c r="I42" s="115"/>
      <c r="J42" s="50"/>
      <c r="K42" s="50"/>
      <c r="L42" s="50"/>
      <c r="M42" s="50"/>
      <c r="N42" s="50"/>
      <c r="O42" s="50"/>
      <c r="P42" s="50"/>
      <c r="Q42" s="50"/>
      <c r="R42" s="50"/>
      <c r="S42" s="50"/>
      <c r="T42" s="50"/>
      <c r="U42" s="50"/>
      <c r="V42" s="50"/>
      <c r="W42" s="50"/>
      <c r="X42" s="50"/>
      <c r="Y42" s="50"/>
      <c r="Z42" s="50"/>
    </row>
    <row r="43" spans="1:26" ht="15.75" customHeight="1" x14ac:dyDescent="0.35">
      <c r="A43" s="50"/>
      <c r="B43" s="53" t="s">
        <v>148</v>
      </c>
      <c r="C43" s="47" t="s">
        <v>202</v>
      </c>
      <c r="D43" s="178">
        <v>0</v>
      </c>
      <c r="E43" s="179">
        <v>0</v>
      </c>
      <c r="F43" s="179">
        <v>0</v>
      </c>
      <c r="G43" s="50"/>
      <c r="H43" s="50"/>
      <c r="I43" s="115"/>
      <c r="J43" s="50"/>
      <c r="K43" s="50"/>
      <c r="L43" s="50"/>
      <c r="M43" s="50"/>
      <c r="N43" s="50"/>
      <c r="O43" s="50"/>
      <c r="P43" s="50"/>
      <c r="Q43" s="50"/>
      <c r="R43" s="50"/>
      <c r="S43" s="50"/>
      <c r="T43" s="50"/>
      <c r="U43" s="50"/>
      <c r="V43" s="50"/>
      <c r="W43" s="50"/>
      <c r="X43" s="50"/>
      <c r="Y43" s="50"/>
      <c r="Z43" s="50"/>
    </row>
    <row r="44" spans="1:26" ht="15.75" customHeight="1" x14ac:dyDescent="0.35">
      <c r="A44" s="50"/>
      <c r="B44" s="53" t="s">
        <v>149</v>
      </c>
      <c r="C44" s="47" t="s">
        <v>202</v>
      </c>
      <c r="D44" s="178">
        <v>322.07004608294932</v>
      </c>
      <c r="E44" s="179">
        <v>321.893175074184</v>
      </c>
      <c r="F44" s="179">
        <v>289.55555555555554</v>
      </c>
      <c r="G44" s="50"/>
      <c r="H44" s="50"/>
      <c r="I44" s="115"/>
      <c r="J44" s="50"/>
      <c r="K44" s="50"/>
      <c r="L44" s="50"/>
      <c r="M44" s="50"/>
      <c r="N44" s="50"/>
      <c r="O44" s="50"/>
      <c r="P44" s="50"/>
      <c r="Q44" s="50"/>
      <c r="R44" s="50"/>
      <c r="S44" s="50"/>
      <c r="T44" s="50"/>
      <c r="U44" s="50"/>
      <c r="V44" s="50"/>
      <c r="W44" s="50"/>
      <c r="X44" s="50"/>
      <c r="Y44" s="50"/>
      <c r="Z44" s="50"/>
    </row>
    <row r="45" spans="1:26" ht="15.75" customHeight="1" x14ac:dyDescent="0.35">
      <c r="A45" s="50"/>
      <c r="B45" s="53" t="s">
        <v>198</v>
      </c>
      <c r="C45" s="47" t="s">
        <v>202</v>
      </c>
      <c r="D45" s="178">
        <v>22.467336683417084</v>
      </c>
      <c r="E45" s="179">
        <v>20.202777777777779</v>
      </c>
      <c r="F45" s="179">
        <v>20.301397205588824</v>
      </c>
      <c r="G45" s="50"/>
      <c r="H45" s="50"/>
      <c r="I45" s="115"/>
      <c r="J45" s="50"/>
      <c r="K45" s="50"/>
      <c r="L45" s="50"/>
      <c r="M45" s="50"/>
      <c r="N45" s="50"/>
      <c r="O45" s="50"/>
      <c r="P45" s="50"/>
      <c r="Q45" s="50"/>
      <c r="R45" s="50"/>
      <c r="S45" s="50"/>
      <c r="T45" s="50"/>
      <c r="U45" s="50"/>
      <c r="V45" s="50"/>
      <c r="W45" s="50"/>
      <c r="X45" s="50"/>
      <c r="Y45" s="50"/>
      <c r="Z45" s="50"/>
    </row>
    <row r="46" spans="1:26" ht="15.75" customHeight="1" x14ac:dyDescent="0.35">
      <c r="A46" s="50"/>
      <c r="B46" s="53" t="s">
        <v>199</v>
      </c>
      <c r="C46" s="47" t="s">
        <v>202</v>
      </c>
      <c r="D46" s="178">
        <v>25.5</v>
      </c>
      <c r="E46" s="179">
        <v>25.018518518518519</v>
      </c>
      <c r="F46" s="179">
        <v>24.185714285714287</v>
      </c>
      <c r="G46" s="50"/>
      <c r="H46" s="50"/>
      <c r="I46" s="115"/>
      <c r="J46" s="50"/>
      <c r="K46" s="50"/>
      <c r="L46" s="50"/>
      <c r="M46" s="50"/>
      <c r="N46" s="50"/>
      <c r="O46" s="50"/>
      <c r="P46" s="50"/>
      <c r="Q46" s="50"/>
      <c r="R46" s="50"/>
      <c r="S46" s="50"/>
      <c r="T46" s="50"/>
      <c r="U46" s="50"/>
      <c r="V46" s="50"/>
      <c r="W46" s="50"/>
      <c r="X46" s="50"/>
      <c r="Y46" s="50"/>
      <c r="Z46" s="50"/>
    </row>
    <row r="47" spans="1:26" ht="15.75" customHeight="1" x14ac:dyDescent="0.35">
      <c r="A47" s="50"/>
      <c r="B47" s="53" t="s">
        <v>152</v>
      </c>
      <c r="C47" s="47" t="s">
        <v>202</v>
      </c>
      <c r="D47" s="178">
        <v>17.264650283553877</v>
      </c>
      <c r="E47" s="179">
        <v>16.12676056338028</v>
      </c>
      <c r="F47" s="179">
        <v>18.578947368421051</v>
      </c>
      <c r="G47" s="50"/>
      <c r="H47" s="50"/>
      <c r="I47" s="115"/>
      <c r="J47" s="50"/>
      <c r="K47" s="50"/>
      <c r="L47" s="50"/>
      <c r="M47" s="50"/>
      <c r="N47" s="50"/>
      <c r="O47" s="50"/>
      <c r="P47" s="50"/>
      <c r="Q47" s="50"/>
      <c r="R47" s="50"/>
      <c r="S47" s="50"/>
      <c r="T47" s="50"/>
      <c r="U47" s="50"/>
      <c r="V47" s="50"/>
      <c r="W47" s="50"/>
      <c r="X47" s="50"/>
      <c r="Y47" s="50"/>
      <c r="Z47" s="50"/>
    </row>
    <row r="48" spans="1:26" ht="15.75" customHeight="1" x14ac:dyDescent="0.35">
      <c r="A48" s="50"/>
      <c r="B48" s="53" t="s">
        <v>153</v>
      </c>
      <c r="C48" s="47" t="s">
        <v>202</v>
      </c>
      <c r="D48" s="178">
        <v>20.7888537776501</v>
      </c>
      <c r="E48" s="179">
        <v>18.948141745894556</v>
      </c>
      <c r="F48" s="179">
        <v>13.583333333333334</v>
      </c>
      <c r="G48" s="50"/>
      <c r="H48" s="50"/>
      <c r="I48" s="115"/>
      <c r="J48" s="50"/>
      <c r="K48" s="50"/>
      <c r="L48" s="50"/>
      <c r="M48" s="50"/>
      <c r="N48" s="50"/>
      <c r="O48" s="50"/>
      <c r="P48" s="50"/>
      <c r="Q48" s="50"/>
      <c r="R48" s="50"/>
      <c r="S48" s="50"/>
      <c r="T48" s="50"/>
      <c r="U48" s="50"/>
      <c r="V48" s="50"/>
      <c r="W48" s="50"/>
      <c r="X48" s="50"/>
      <c r="Y48" s="50"/>
      <c r="Z48" s="50"/>
    </row>
    <row r="49" spans="1:26" ht="15.75" customHeight="1" x14ac:dyDescent="0.35">
      <c r="A49" s="50"/>
      <c r="B49" s="53" t="s">
        <v>154</v>
      </c>
      <c r="C49" s="47" t="s">
        <v>202</v>
      </c>
      <c r="D49" s="178">
        <v>0</v>
      </c>
      <c r="E49" s="179">
        <v>0</v>
      </c>
      <c r="F49" s="179">
        <v>0</v>
      </c>
      <c r="G49" s="50"/>
      <c r="H49" s="50"/>
      <c r="I49" s="115"/>
      <c r="J49" s="50"/>
      <c r="K49" s="50"/>
      <c r="L49" s="50"/>
      <c r="M49" s="50"/>
      <c r="N49" s="50"/>
      <c r="O49" s="50"/>
      <c r="P49" s="50"/>
      <c r="Q49" s="50"/>
      <c r="R49" s="50"/>
      <c r="S49" s="50"/>
      <c r="T49" s="50"/>
      <c r="U49" s="50"/>
      <c r="V49" s="50"/>
      <c r="W49" s="50"/>
      <c r="X49" s="50"/>
      <c r="Y49" s="50"/>
      <c r="Z49" s="50"/>
    </row>
    <row r="50" spans="1:26" ht="15.75" customHeight="1" x14ac:dyDescent="0.35">
      <c r="A50" s="50"/>
      <c r="B50" s="53" t="s">
        <v>155</v>
      </c>
      <c r="C50" s="47" t="s">
        <v>202</v>
      </c>
      <c r="D50" s="179">
        <v>0</v>
      </c>
      <c r="E50" s="179">
        <v>0</v>
      </c>
      <c r="F50" s="179">
        <v>0</v>
      </c>
      <c r="G50" s="50"/>
      <c r="H50" s="50"/>
      <c r="I50" s="115"/>
      <c r="J50" s="50"/>
      <c r="K50" s="50"/>
      <c r="L50" s="50"/>
      <c r="M50" s="50"/>
      <c r="N50" s="50"/>
      <c r="O50" s="50"/>
      <c r="P50" s="50"/>
      <c r="Q50" s="50"/>
      <c r="R50" s="50"/>
      <c r="S50" s="50"/>
      <c r="T50" s="50"/>
      <c r="U50" s="50"/>
      <c r="V50" s="50"/>
      <c r="W50" s="50"/>
      <c r="X50" s="50"/>
      <c r="Y50" s="50"/>
      <c r="Z50" s="50"/>
    </row>
    <row r="51" spans="1:26" ht="15.75" customHeight="1" x14ac:dyDescent="0.35">
      <c r="A51" s="50"/>
      <c r="B51" s="53" t="s">
        <v>156</v>
      </c>
      <c r="C51" s="47" t="s">
        <v>202</v>
      </c>
      <c r="D51" s="179">
        <v>0</v>
      </c>
      <c r="E51" s="179">
        <v>17.134328358208954</v>
      </c>
      <c r="F51" s="179">
        <v>0</v>
      </c>
      <c r="G51" s="50"/>
      <c r="H51" s="50"/>
      <c r="I51" s="115"/>
      <c r="J51" s="50"/>
      <c r="K51" s="50"/>
      <c r="L51" s="50"/>
      <c r="M51" s="50"/>
      <c r="N51" s="50"/>
      <c r="O51" s="50"/>
      <c r="P51" s="50"/>
      <c r="Q51" s="50"/>
      <c r="R51" s="50"/>
      <c r="S51" s="50"/>
      <c r="T51" s="50"/>
      <c r="U51" s="50"/>
      <c r="V51" s="50"/>
      <c r="W51" s="50"/>
      <c r="X51" s="50"/>
      <c r="Y51" s="50"/>
      <c r="Z51" s="50"/>
    </row>
    <row r="52" spans="1:26" ht="15.75" customHeight="1" x14ac:dyDescent="0.35">
      <c r="A52" s="50"/>
      <c r="B52" s="161" t="s">
        <v>96</v>
      </c>
      <c r="C52" s="47" t="s">
        <v>202</v>
      </c>
      <c r="D52" s="179">
        <v>0</v>
      </c>
      <c r="E52" s="179">
        <v>0</v>
      </c>
      <c r="F52" s="179">
        <v>0</v>
      </c>
      <c r="G52" s="50"/>
      <c r="H52" s="50"/>
      <c r="I52" s="115"/>
      <c r="J52" s="50"/>
      <c r="K52" s="50"/>
      <c r="L52" s="50"/>
      <c r="M52" s="50"/>
      <c r="N52" s="50"/>
      <c r="O52" s="50"/>
      <c r="P52" s="50"/>
      <c r="Q52" s="50"/>
      <c r="R52" s="50"/>
      <c r="S52" s="50"/>
      <c r="T52" s="50"/>
      <c r="U52" s="50"/>
      <c r="V52" s="50"/>
      <c r="W52" s="50"/>
      <c r="X52" s="50"/>
      <c r="Y52" s="50"/>
      <c r="Z52" s="50"/>
    </row>
    <row r="53" spans="1:26" ht="15.75" customHeight="1" x14ac:dyDescent="0.35">
      <c r="A53" s="50"/>
      <c r="B53" s="53" t="s">
        <v>158</v>
      </c>
      <c r="C53" s="47" t="s">
        <v>202</v>
      </c>
      <c r="D53" s="179">
        <v>0</v>
      </c>
      <c r="E53" s="179">
        <v>0</v>
      </c>
      <c r="F53" s="179">
        <v>0</v>
      </c>
      <c r="G53" s="50"/>
      <c r="H53" s="50"/>
      <c r="I53" s="115"/>
      <c r="J53" s="50"/>
      <c r="K53" s="50"/>
      <c r="L53" s="50"/>
      <c r="M53" s="50"/>
      <c r="N53" s="50"/>
      <c r="O53" s="50"/>
      <c r="P53" s="50"/>
      <c r="Q53" s="50"/>
      <c r="R53" s="50"/>
      <c r="S53" s="50"/>
      <c r="T53" s="50"/>
      <c r="U53" s="50"/>
      <c r="V53" s="50"/>
      <c r="W53" s="50"/>
      <c r="X53" s="50"/>
      <c r="Y53" s="50"/>
      <c r="Z53" s="50"/>
    </row>
    <row r="54" spans="1:26" ht="15.75" customHeight="1" x14ac:dyDescent="0.35">
      <c r="A54" s="50"/>
      <c r="B54" s="53"/>
      <c r="C54" s="47"/>
      <c r="D54" s="180"/>
      <c r="E54" s="180"/>
      <c r="F54" s="180"/>
      <c r="G54" s="50"/>
      <c r="H54" s="50"/>
      <c r="I54" s="115"/>
      <c r="J54" s="50"/>
      <c r="K54" s="50"/>
      <c r="L54" s="50"/>
      <c r="M54" s="50"/>
      <c r="N54" s="50"/>
      <c r="O54" s="50"/>
      <c r="P54" s="50"/>
      <c r="Q54" s="50"/>
      <c r="R54" s="50"/>
      <c r="S54" s="50"/>
      <c r="T54" s="50"/>
      <c r="U54" s="50"/>
      <c r="V54" s="50"/>
      <c r="W54" s="50"/>
      <c r="X54" s="50"/>
      <c r="Y54" s="50"/>
      <c r="Z54" s="50"/>
    </row>
    <row r="55" spans="1:26" ht="15.75" customHeight="1" x14ac:dyDescent="0.35">
      <c r="A55" s="50"/>
      <c r="B55" s="46" t="s">
        <v>203</v>
      </c>
      <c r="C55" s="47"/>
      <c r="D55" s="176">
        <v>2019</v>
      </c>
      <c r="E55" s="176">
        <v>2020</v>
      </c>
      <c r="F55" s="176">
        <v>2021</v>
      </c>
      <c r="G55" s="50"/>
      <c r="H55" s="50"/>
      <c r="I55" s="115"/>
      <c r="J55" s="50"/>
      <c r="K55" s="50"/>
      <c r="L55" s="50"/>
      <c r="M55" s="50"/>
      <c r="N55" s="50"/>
      <c r="O55" s="50"/>
      <c r="P55" s="50"/>
      <c r="Q55" s="50"/>
      <c r="R55" s="50"/>
      <c r="S55" s="50"/>
      <c r="T55" s="50"/>
      <c r="U55" s="50"/>
      <c r="V55" s="50"/>
      <c r="W55" s="50"/>
      <c r="X55" s="50"/>
      <c r="Y55" s="50"/>
      <c r="Z55" s="50"/>
    </row>
    <row r="56" spans="1:26" ht="15.75" customHeight="1" x14ac:dyDescent="0.35">
      <c r="A56" s="50"/>
      <c r="B56" s="53" t="s">
        <v>145</v>
      </c>
      <c r="C56" s="47" t="s">
        <v>202</v>
      </c>
      <c r="D56" s="181">
        <v>22.00950283453648</v>
      </c>
      <c r="E56" s="180">
        <v>21.369763504287508</v>
      </c>
      <c r="F56" s="180">
        <v>21.334414161773729</v>
      </c>
      <c r="G56" s="50" t="s">
        <v>197</v>
      </c>
      <c r="H56" s="50"/>
      <c r="I56" s="115"/>
      <c r="J56" s="50"/>
      <c r="K56" s="50"/>
      <c r="L56" s="50"/>
      <c r="M56" s="50"/>
      <c r="N56" s="50"/>
      <c r="O56" s="50"/>
      <c r="P56" s="50"/>
      <c r="Q56" s="50"/>
      <c r="R56" s="50"/>
      <c r="S56" s="50"/>
      <c r="T56" s="50"/>
      <c r="U56" s="50"/>
      <c r="V56" s="50"/>
      <c r="W56" s="50"/>
      <c r="X56" s="50"/>
      <c r="Y56" s="50"/>
      <c r="Z56" s="50"/>
    </row>
    <row r="57" spans="1:26" ht="15.75" customHeight="1" x14ac:dyDescent="0.35">
      <c r="A57" s="50"/>
      <c r="B57" s="53" t="s">
        <v>146</v>
      </c>
      <c r="C57" s="47" t="s">
        <v>202</v>
      </c>
      <c r="D57" s="181">
        <v>112.79949077021006</v>
      </c>
      <c r="E57" s="180">
        <v>112.8</v>
      </c>
      <c r="F57" s="180">
        <v>112.80000000000001</v>
      </c>
      <c r="G57" s="50"/>
      <c r="H57" s="50"/>
      <c r="I57" s="115"/>
      <c r="J57" s="50"/>
      <c r="K57" s="50"/>
      <c r="L57" s="50"/>
      <c r="M57" s="50"/>
      <c r="N57" s="50"/>
      <c r="O57" s="50"/>
      <c r="P57" s="50"/>
      <c r="Q57" s="50"/>
      <c r="R57" s="50"/>
      <c r="S57" s="50"/>
      <c r="T57" s="50"/>
      <c r="U57" s="50"/>
      <c r="V57" s="50"/>
      <c r="W57" s="50"/>
      <c r="X57" s="50"/>
      <c r="Y57" s="50"/>
      <c r="Z57" s="50"/>
    </row>
    <row r="58" spans="1:26" ht="15.75" customHeight="1" x14ac:dyDescent="0.35">
      <c r="A58" s="50"/>
      <c r="B58" s="53" t="s">
        <v>147</v>
      </c>
      <c r="C58" s="47" t="s">
        <v>202</v>
      </c>
      <c r="D58" s="181">
        <v>439.34976525821594</v>
      </c>
      <c r="E58" s="180">
        <v>530.77083333333337</v>
      </c>
      <c r="F58" s="180">
        <v>535.77374071015686</v>
      </c>
      <c r="G58" s="50"/>
      <c r="H58" s="50"/>
      <c r="I58" s="115"/>
      <c r="J58" s="50"/>
      <c r="K58" s="50"/>
      <c r="L58" s="50"/>
      <c r="M58" s="50"/>
      <c r="N58" s="50"/>
      <c r="O58" s="50"/>
      <c r="P58" s="50"/>
      <c r="Q58" s="50"/>
      <c r="R58" s="50"/>
      <c r="S58" s="50"/>
      <c r="T58" s="50"/>
      <c r="U58" s="50"/>
      <c r="V58" s="50"/>
      <c r="W58" s="50"/>
      <c r="X58" s="50"/>
      <c r="Y58" s="50"/>
      <c r="Z58" s="50"/>
    </row>
    <row r="59" spans="1:26" ht="15.75" customHeight="1" x14ac:dyDescent="0.35">
      <c r="A59" s="50"/>
      <c r="B59" s="53" t="s">
        <v>148</v>
      </c>
      <c r="C59" s="47" t="s">
        <v>202</v>
      </c>
      <c r="D59" s="181">
        <v>0</v>
      </c>
      <c r="E59" s="180">
        <v>0</v>
      </c>
      <c r="F59" s="180">
        <v>1065</v>
      </c>
      <c r="G59" s="50"/>
      <c r="H59" s="50"/>
      <c r="I59" s="115"/>
      <c r="J59" s="50"/>
      <c r="K59" s="50"/>
      <c r="L59" s="50"/>
      <c r="M59" s="50"/>
      <c r="N59" s="50"/>
      <c r="O59" s="50"/>
      <c r="P59" s="50"/>
      <c r="Q59" s="50"/>
      <c r="R59" s="50"/>
      <c r="S59" s="50"/>
      <c r="T59" s="50"/>
      <c r="U59" s="50"/>
      <c r="V59" s="50"/>
      <c r="W59" s="50"/>
      <c r="X59" s="50"/>
      <c r="Y59" s="50"/>
      <c r="Z59" s="50"/>
    </row>
    <row r="60" spans="1:26" ht="15.75" customHeight="1" x14ac:dyDescent="0.35">
      <c r="A60" s="50"/>
      <c r="B60" s="53" t="s">
        <v>149</v>
      </c>
      <c r="C60" s="47" t="s">
        <v>202</v>
      </c>
      <c r="D60" s="181">
        <v>461.60645161290324</v>
      </c>
      <c r="E60" s="180">
        <v>464.02967359050444</v>
      </c>
      <c r="F60" s="180">
        <v>471.95698924731181</v>
      </c>
      <c r="G60" s="50"/>
      <c r="H60" s="50"/>
      <c r="I60" s="115"/>
      <c r="J60" s="50"/>
      <c r="K60" s="50"/>
      <c r="L60" s="50"/>
      <c r="M60" s="50"/>
      <c r="N60" s="50"/>
      <c r="O60" s="50"/>
      <c r="P60" s="50"/>
      <c r="Q60" s="50"/>
      <c r="R60" s="50"/>
      <c r="S60" s="50"/>
      <c r="T60" s="50"/>
      <c r="U60" s="50"/>
      <c r="V60" s="50"/>
      <c r="W60" s="50"/>
      <c r="X60" s="50"/>
      <c r="Y60" s="50"/>
      <c r="Z60" s="50"/>
    </row>
    <row r="61" spans="1:26" ht="15.75" customHeight="1" x14ac:dyDescent="0.35">
      <c r="A61" s="50"/>
      <c r="B61" s="53" t="s">
        <v>198</v>
      </c>
      <c r="C61" s="47" t="s">
        <v>202</v>
      </c>
      <c r="D61" s="181">
        <v>45.514846962083141</v>
      </c>
      <c r="E61" s="180">
        <v>44.651851851851852</v>
      </c>
      <c r="F61" s="180">
        <v>44.143712574850298</v>
      </c>
      <c r="G61" s="50"/>
      <c r="H61" s="50"/>
      <c r="I61" s="115"/>
      <c r="J61" s="50"/>
      <c r="K61" s="50"/>
      <c r="L61" s="50"/>
      <c r="M61" s="50"/>
      <c r="N61" s="50"/>
      <c r="O61" s="50"/>
      <c r="P61" s="50"/>
      <c r="Q61" s="50"/>
      <c r="R61" s="50"/>
      <c r="S61" s="50"/>
      <c r="T61" s="50"/>
      <c r="U61" s="50"/>
      <c r="V61" s="50"/>
      <c r="W61" s="50"/>
      <c r="X61" s="50"/>
      <c r="Y61" s="50"/>
      <c r="Z61" s="50"/>
    </row>
    <row r="62" spans="1:26" ht="15.75" customHeight="1" x14ac:dyDescent="0.35">
      <c r="A62" s="50"/>
      <c r="B62" s="53" t="s">
        <v>199</v>
      </c>
      <c r="C62" s="47" t="s">
        <v>202</v>
      </c>
      <c r="D62" s="181">
        <v>55.358974358974358</v>
      </c>
      <c r="E62" s="180">
        <v>55.851851851851848</v>
      </c>
      <c r="F62" s="180">
        <v>57.621428571428567</v>
      </c>
      <c r="G62" s="50"/>
      <c r="H62" s="50"/>
      <c r="I62" s="115"/>
      <c r="J62" s="50"/>
      <c r="K62" s="50"/>
      <c r="L62" s="50"/>
      <c r="M62" s="50"/>
      <c r="N62" s="50"/>
      <c r="O62" s="50"/>
      <c r="P62" s="50"/>
      <c r="Q62" s="50"/>
      <c r="R62" s="50"/>
      <c r="S62" s="50"/>
      <c r="T62" s="50"/>
      <c r="U62" s="50"/>
      <c r="V62" s="50"/>
      <c r="W62" s="50"/>
      <c r="X62" s="50"/>
      <c r="Y62" s="50"/>
      <c r="Z62" s="50"/>
    </row>
    <row r="63" spans="1:26" ht="15.75" customHeight="1" x14ac:dyDescent="0.35">
      <c r="A63" s="50"/>
      <c r="B63" s="53" t="s">
        <v>152</v>
      </c>
      <c r="C63" s="47" t="s">
        <v>202</v>
      </c>
      <c r="D63" s="181">
        <v>17.264650283553877</v>
      </c>
      <c r="E63" s="180">
        <v>16.12676056338028</v>
      </c>
      <c r="F63" s="180">
        <v>18.578947368421051</v>
      </c>
      <c r="G63" s="50"/>
      <c r="H63" s="50"/>
      <c r="I63" s="115"/>
      <c r="J63" s="50"/>
      <c r="K63" s="50"/>
      <c r="L63" s="50"/>
      <c r="M63" s="50"/>
      <c r="N63" s="50"/>
      <c r="O63" s="50"/>
      <c r="P63" s="50"/>
      <c r="Q63" s="50"/>
      <c r="R63" s="50"/>
      <c r="S63" s="50"/>
      <c r="T63" s="50"/>
      <c r="U63" s="50"/>
      <c r="V63" s="50"/>
      <c r="W63" s="50"/>
      <c r="X63" s="50"/>
      <c r="Y63" s="50"/>
      <c r="Z63" s="50"/>
    </row>
    <row r="64" spans="1:26" ht="15.75" customHeight="1" x14ac:dyDescent="0.35">
      <c r="A64" s="50"/>
      <c r="B64" s="53" t="s">
        <v>153</v>
      </c>
      <c r="C64" s="47" t="s">
        <v>202</v>
      </c>
      <c r="D64" s="181">
        <v>20.282964665326055</v>
      </c>
      <c r="E64" s="180">
        <v>18.234226447709595</v>
      </c>
      <c r="F64" s="180">
        <v>16</v>
      </c>
      <c r="G64" s="50"/>
      <c r="H64" s="50"/>
      <c r="I64" s="115"/>
      <c r="J64" s="50"/>
      <c r="K64" s="50"/>
      <c r="L64" s="50"/>
      <c r="M64" s="50"/>
      <c r="N64" s="50"/>
      <c r="O64" s="50"/>
      <c r="P64" s="50"/>
      <c r="Q64" s="50"/>
      <c r="R64" s="50"/>
      <c r="S64" s="50"/>
      <c r="T64" s="50"/>
      <c r="U64" s="50"/>
      <c r="V64" s="50"/>
      <c r="W64" s="50"/>
      <c r="X64" s="50"/>
      <c r="Y64" s="50"/>
      <c r="Z64" s="50"/>
    </row>
    <row r="65" spans="1:26" ht="15.75" customHeight="1" x14ac:dyDescent="0.35">
      <c r="A65" s="50"/>
      <c r="B65" s="53" t="s">
        <v>154</v>
      </c>
      <c r="C65" s="47" t="s">
        <v>202</v>
      </c>
      <c r="D65" s="181">
        <v>0</v>
      </c>
      <c r="E65" s="180">
        <v>0</v>
      </c>
      <c r="F65" s="180">
        <v>0</v>
      </c>
      <c r="G65" s="50"/>
      <c r="H65" s="50"/>
      <c r="I65" s="115"/>
      <c r="J65" s="50"/>
      <c r="K65" s="50"/>
      <c r="L65" s="50"/>
      <c r="M65" s="50"/>
      <c r="N65" s="50"/>
      <c r="O65" s="50"/>
      <c r="P65" s="50"/>
      <c r="Q65" s="50"/>
      <c r="R65" s="50"/>
      <c r="S65" s="50"/>
      <c r="T65" s="50"/>
      <c r="U65" s="50"/>
      <c r="V65" s="50"/>
      <c r="W65" s="50"/>
      <c r="X65" s="50"/>
      <c r="Y65" s="50"/>
      <c r="Z65" s="50"/>
    </row>
    <row r="66" spans="1:26" ht="15.75" customHeight="1" x14ac:dyDescent="0.35">
      <c r="A66" s="50"/>
      <c r="B66" s="53" t="s">
        <v>155</v>
      </c>
      <c r="C66" s="47" t="s">
        <v>202</v>
      </c>
      <c r="D66" s="180">
        <v>0</v>
      </c>
      <c r="E66" s="180">
        <v>0</v>
      </c>
      <c r="F66" s="180">
        <v>0</v>
      </c>
      <c r="G66" s="50"/>
      <c r="H66" s="50"/>
      <c r="I66" s="115"/>
      <c r="J66" s="50"/>
      <c r="K66" s="50"/>
      <c r="L66" s="50"/>
      <c r="M66" s="50"/>
      <c r="N66" s="50"/>
      <c r="O66" s="50"/>
      <c r="P66" s="50"/>
      <c r="Q66" s="50"/>
      <c r="R66" s="50"/>
      <c r="S66" s="50"/>
      <c r="T66" s="50"/>
      <c r="U66" s="50"/>
      <c r="V66" s="50"/>
      <c r="W66" s="50"/>
      <c r="X66" s="50"/>
      <c r="Y66" s="50"/>
      <c r="Z66" s="50"/>
    </row>
    <row r="67" spans="1:26" ht="15.75" customHeight="1" x14ac:dyDescent="0.35">
      <c r="A67" s="50"/>
      <c r="B67" s="53" t="s">
        <v>156</v>
      </c>
      <c r="C67" s="47" t="s">
        <v>202</v>
      </c>
      <c r="D67" s="180">
        <v>0</v>
      </c>
      <c r="E67" s="180">
        <v>17.134328358208954</v>
      </c>
      <c r="F67" s="180">
        <v>0</v>
      </c>
      <c r="G67" s="50"/>
      <c r="H67" s="50"/>
      <c r="I67" s="115"/>
      <c r="J67" s="50"/>
      <c r="K67" s="50"/>
      <c r="L67" s="50"/>
      <c r="M67" s="50"/>
      <c r="N67" s="50"/>
      <c r="O67" s="50"/>
      <c r="P67" s="50"/>
      <c r="Q67" s="50"/>
      <c r="R67" s="50"/>
      <c r="S67" s="50"/>
      <c r="T67" s="50"/>
      <c r="U67" s="50"/>
      <c r="V67" s="50"/>
      <c r="W67" s="50"/>
      <c r="X67" s="50"/>
      <c r="Y67" s="50"/>
      <c r="Z67" s="50"/>
    </row>
    <row r="68" spans="1:26" ht="15.75" customHeight="1" x14ac:dyDescent="0.35">
      <c r="A68" s="50"/>
      <c r="B68" s="161" t="s">
        <v>96</v>
      </c>
      <c r="C68" s="47" t="s">
        <v>202</v>
      </c>
      <c r="D68" s="180">
        <v>0</v>
      </c>
      <c r="E68" s="180">
        <v>0</v>
      </c>
      <c r="F68" s="180">
        <v>0</v>
      </c>
      <c r="G68" s="50"/>
      <c r="H68" s="50"/>
      <c r="I68" s="115"/>
      <c r="J68" s="50"/>
      <c r="K68" s="50"/>
      <c r="L68" s="50"/>
      <c r="M68" s="50"/>
      <c r="N68" s="50"/>
      <c r="O68" s="50"/>
      <c r="P68" s="50"/>
      <c r="Q68" s="50"/>
      <c r="R68" s="50"/>
      <c r="S68" s="50"/>
      <c r="T68" s="50"/>
      <c r="U68" s="50"/>
      <c r="V68" s="50"/>
      <c r="W68" s="50"/>
      <c r="X68" s="50"/>
      <c r="Y68" s="50"/>
      <c r="Z68" s="50"/>
    </row>
    <row r="69" spans="1:26" ht="15.75" customHeight="1" x14ac:dyDescent="0.35">
      <c r="A69" s="50"/>
      <c r="B69" s="53" t="s">
        <v>158</v>
      </c>
      <c r="C69" s="47" t="s">
        <v>202</v>
      </c>
      <c r="D69" s="180">
        <v>0</v>
      </c>
      <c r="E69" s="180">
        <v>0</v>
      </c>
      <c r="F69" s="180">
        <v>0</v>
      </c>
      <c r="G69" s="50"/>
      <c r="H69" s="50"/>
      <c r="I69" s="115"/>
      <c r="J69" s="50"/>
      <c r="K69" s="50"/>
      <c r="L69" s="50"/>
      <c r="M69" s="50"/>
      <c r="N69" s="50"/>
      <c r="O69" s="50"/>
      <c r="P69" s="50"/>
      <c r="Q69" s="50"/>
      <c r="R69" s="50"/>
      <c r="S69" s="50"/>
      <c r="T69" s="50"/>
      <c r="U69" s="50"/>
      <c r="V69" s="50"/>
      <c r="W69" s="50"/>
      <c r="X69" s="50"/>
      <c r="Y69" s="50"/>
      <c r="Z69" s="50"/>
    </row>
    <row r="70" spans="1:26" ht="15.75" customHeight="1" x14ac:dyDescent="0.35">
      <c r="A70" s="50"/>
      <c r="B70" s="53"/>
      <c r="C70" s="47"/>
      <c r="D70" s="180"/>
      <c r="E70" s="180"/>
      <c r="F70" s="180"/>
      <c r="G70" s="50"/>
      <c r="H70" s="50"/>
      <c r="I70" s="115"/>
      <c r="J70" s="50"/>
      <c r="K70" s="50"/>
      <c r="L70" s="50"/>
      <c r="M70" s="50"/>
      <c r="N70" s="50"/>
      <c r="O70" s="50"/>
      <c r="P70" s="50"/>
      <c r="Q70" s="50"/>
      <c r="R70" s="50"/>
      <c r="S70" s="50"/>
      <c r="T70" s="50"/>
      <c r="U70" s="50"/>
      <c r="V70" s="50"/>
      <c r="W70" s="50"/>
      <c r="X70" s="50"/>
      <c r="Y70" s="50"/>
      <c r="Z70" s="50"/>
    </row>
    <row r="71" spans="1:26" ht="15.75" customHeight="1" x14ac:dyDescent="0.35">
      <c r="A71" s="50"/>
      <c r="B71" s="46" t="s">
        <v>204</v>
      </c>
      <c r="C71" s="47"/>
      <c r="D71" s="181"/>
      <c r="E71" s="182" t="s">
        <v>205</v>
      </c>
      <c r="F71" s="182" t="s">
        <v>206</v>
      </c>
      <c r="G71" s="50"/>
      <c r="H71" s="50"/>
      <c r="I71" s="115"/>
      <c r="J71" s="50"/>
      <c r="K71" s="50"/>
      <c r="L71" s="50"/>
      <c r="M71" s="50"/>
      <c r="N71" s="50"/>
      <c r="O71" s="50"/>
      <c r="P71" s="50"/>
      <c r="Q71" s="50"/>
      <c r="R71" s="50"/>
      <c r="S71" s="50"/>
      <c r="T71" s="50"/>
      <c r="U71" s="50"/>
      <c r="V71" s="50"/>
      <c r="W71" s="50"/>
      <c r="X71" s="50"/>
      <c r="Y71" s="50"/>
      <c r="Z71" s="50"/>
    </row>
    <row r="72" spans="1:26" ht="15.75" customHeight="1" x14ac:dyDescent="0.35">
      <c r="A72" s="50"/>
      <c r="B72" s="53" t="s">
        <v>145</v>
      </c>
      <c r="C72" s="47" t="s">
        <v>202</v>
      </c>
      <c r="D72" s="181"/>
      <c r="E72" s="180">
        <f t="shared" ref="E72:E85" si="1">F56-F40</f>
        <v>11.714223118043995</v>
      </c>
      <c r="F72" s="183">
        <v>10.9</v>
      </c>
      <c r="G72" s="50"/>
      <c r="H72" s="50"/>
      <c r="I72" s="115"/>
      <c r="J72" s="50"/>
      <c r="K72" s="50"/>
      <c r="L72" s="50"/>
      <c r="M72" s="50"/>
      <c r="N72" s="50"/>
      <c r="O72" s="50"/>
      <c r="P72" s="50"/>
      <c r="Q72" s="50"/>
      <c r="R72" s="50"/>
      <c r="S72" s="50"/>
      <c r="T72" s="50"/>
      <c r="U72" s="50"/>
      <c r="V72" s="50"/>
      <c r="W72" s="50"/>
      <c r="X72" s="50"/>
      <c r="Y72" s="50"/>
      <c r="Z72" s="50"/>
    </row>
    <row r="73" spans="1:26" ht="15.75" customHeight="1" x14ac:dyDescent="0.35">
      <c r="A73" s="50"/>
      <c r="B73" s="53" t="s">
        <v>146</v>
      </c>
      <c r="C73" s="47" t="s">
        <v>202</v>
      </c>
      <c r="D73" s="181"/>
      <c r="E73" s="180">
        <f t="shared" si="1"/>
        <v>59.030188679245292</v>
      </c>
      <c r="F73" s="183" t="s">
        <v>207</v>
      </c>
      <c r="G73" s="50"/>
      <c r="H73" s="50"/>
      <c r="I73" s="115"/>
      <c r="J73" s="50"/>
      <c r="K73" s="50"/>
      <c r="L73" s="50"/>
      <c r="M73" s="50"/>
      <c r="N73" s="50"/>
      <c r="O73" s="50"/>
      <c r="P73" s="50"/>
      <c r="Q73" s="50"/>
      <c r="R73" s="50"/>
      <c r="S73" s="50"/>
      <c r="T73" s="50"/>
      <c r="U73" s="50"/>
      <c r="V73" s="50"/>
      <c r="W73" s="50"/>
      <c r="X73" s="50"/>
      <c r="Y73" s="50"/>
      <c r="Z73" s="50"/>
    </row>
    <row r="74" spans="1:26" ht="15.75" customHeight="1" x14ac:dyDescent="0.35">
      <c r="A74" s="50"/>
      <c r="B74" s="53" t="s">
        <v>147</v>
      </c>
      <c r="C74" s="47" t="s">
        <v>202</v>
      </c>
      <c r="D74" s="181"/>
      <c r="E74" s="180">
        <f t="shared" si="1"/>
        <v>146.04706853839798</v>
      </c>
      <c r="F74" s="183" t="s">
        <v>207</v>
      </c>
      <c r="G74" s="50"/>
      <c r="H74" s="50"/>
      <c r="I74" s="115"/>
      <c r="J74" s="50"/>
      <c r="K74" s="50"/>
      <c r="L74" s="50"/>
      <c r="M74" s="50"/>
      <c r="N74" s="50"/>
      <c r="O74" s="50"/>
      <c r="P74" s="50"/>
      <c r="Q74" s="50"/>
      <c r="R74" s="50"/>
      <c r="S74" s="50"/>
      <c r="T74" s="50"/>
      <c r="U74" s="50"/>
      <c r="V74" s="50"/>
      <c r="W74" s="50"/>
      <c r="X74" s="50"/>
      <c r="Y74" s="50"/>
      <c r="Z74" s="50"/>
    </row>
    <row r="75" spans="1:26" ht="15.75" customHeight="1" x14ac:dyDescent="0.35">
      <c r="A75" s="50"/>
      <c r="B75" s="53" t="s">
        <v>148</v>
      </c>
      <c r="C75" s="47" t="s">
        <v>202</v>
      </c>
      <c r="D75" s="181"/>
      <c r="E75" s="184">
        <f t="shared" si="1"/>
        <v>1065</v>
      </c>
      <c r="F75" s="185">
        <v>285.39999999999998</v>
      </c>
      <c r="G75" s="50" t="s">
        <v>208</v>
      </c>
      <c r="H75" s="50"/>
      <c r="I75" s="115"/>
      <c r="J75" s="50"/>
      <c r="K75" s="50"/>
      <c r="L75" s="50"/>
      <c r="M75" s="50"/>
      <c r="N75" s="50"/>
      <c r="O75" s="50"/>
      <c r="P75" s="50"/>
      <c r="Q75" s="50"/>
      <c r="R75" s="50"/>
      <c r="S75" s="50"/>
      <c r="T75" s="50"/>
      <c r="U75" s="50"/>
      <c r="V75" s="50"/>
      <c r="W75" s="50"/>
      <c r="X75" s="50"/>
      <c r="Y75" s="50"/>
      <c r="Z75" s="50"/>
    </row>
    <row r="76" spans="1:26" ht="15.75" customHeight="1" x14ac:dyDescent="0.35">
      <c r="A76" s="50"/>
      <c r="B76" s="53" t="s">
        <v>149</v>
      </c>
      <c r="C76" s="47" t="s">
        <v>202</v>
      </c>
      <c r="D76" s="181"/>
      <c r="E76" s="180">
        <f t="shared" si="1"/>
        <v>182.40143369175627</v>
      </c>
      <c r="F76" s="183">
        <v>154.30000000000001</v>
      </c>
      <c r="G76" s="50"/>
      <c r="H76" s="50"/>
      <c r="I76" s="115"/>
      <c r="J76" s="50"/>
      <c r="K76" s="50"/>
      <c r="L76" s="50"/>
      <c r="M76" s="50"/>
      <c r="N76" s="50"/>
      <c r="O76" s="50"/>
      <c r="P76" s="50"/>
      <c r="Q76" s="50"/>
      <c r="R76" s="50"/>
      <c r="S76" s="50"/>
      <c r="T76" s="50"/>
      <c r="U76" s="50"/>
      <c r="V76" s="50"/>
      <c r="W76" s="50"/>
      <c r="X76" s="50"/>
      <c r="Y76" s="50"/>
      <c r="Z76" s="50"/>
    </row>
    <row r="77" spans="1:26" ht="15.75" customHeight="1" x14ac:dyDescent="0.35">
      <c r="A77" s="50"/>
      <c r="B77" s="53" t="s">
        <v>198</v>
      </c>
      <c r="C77" s="47" t="s">
        <v>202</v>
      </c>
      <c r="D77" s="181"/>
      <c r="E77" s="180">
        <f t="shared" si="1"/>
        <v>23.842315369261474</v>
      </c>
      <c r="F77" s="183">
        <v>27.2</v>
      </c>
      <c r="G77" s="50"/>
      <c r="H77" s="50"/>
      <c r="I77" s="115"/>
      <c r="J77" s="50"/>
      <c r="K77" s="50"/>
      <c r="L77" s="50"/>
      <c r="M77" s="50"/>
      <c r="N77" s="50"/>
      <c r="O77" s="50"/>
      <c r="P77" s="50"/>
      <c r="Q77" s="50"/>
      <c r="R77" s="50"/>
      <c r="S77" s="50"/>
      <c r="T77" s="50"/>
      <c r="U77" s="50"/>
      <c r="V77" s="50"/>
      <c r="W77" s="50"/>
      <c r="X77" s="50"/>
      <c r="Y77" s="50"/>
      <c r="Z77" s="50"/>
    </row>
    <row r="78" spans="1:26" ht="15.75" customHeight="1" x14ac:dyDescent="0.35">
      <c r="A78" s="50"/>
      <c r="B78" s="53" t="s">
        <v>199</v>
      </c>
      <c r="C78" s="47" t="s">
        <v>202</v>
      </c>
      <c r="D78" s="181"/>
      <c r="E78" s="180">
        <f t="shared" si="1"/>
        <v>33.435714285714283</v>
      </c>
      <c r="F78" s="183">
        <v>18.8</v>
      </c>
      <c r="G78" s="50" t="s">
        <v>209</v>
      </c>
      <c r="H78" s="50"/>
      <c r="I78" s="115"/>
      <c r="J78" s="50"/>
      <c r="K78" s="50"/>
      <c r="L78" s="50"/>
      <c r="M78" s="50"/>
      <c r="N78" s="50"/>
      <c r="O78" s="50"/>
      <c r="P78" s="50"/>
      <c r="Q78" s="50"/>
      <c r="R78" s="50"/>
      <c r="S78" s="50"/>
      <c r="T78" s="50"/>
      <c r="U78" s="50"/>
      <c r="V78" s="50"/>
      <c r="W78" s="50"/>
      <c r="X78" s="50"/>
      <c r="Y78" s="50"/>
      <c r="Z78" s="50"/>
    </row>
    <row r="79" spans="1:26" ht="15.75" customHeight="1" x14ac:dyDescent="0.35">
      <c r="A79" s="50"/>
      <c r="B79" s="53" t="s">
        <v>152</v>
      </c>
      <c r="C79" s="47" t="s">
        <v>202</v>
      </c>
      <c r="D79" s="181"/>
      <c r="E79" s="180">
        <f t="shared" si="1"/>
        <v>0</v>
      </c>
      <c r="F79" s="183" t="e">
        <f>AVERAGE(#REF!)</f>
        <v>#REF!</v>
      </c>
      <c r="G79" s="50"/>
      <c r="H79" s="50"/>
      <c r="I79" s="115"/>
      <c r="J79" s="50"/>
      <c r="K79" s="50"/>
      <c r="L79" s="50"/>
      <c r="M79" s="50"/>
      <c r="N79" s="50"/>
      <c r="O79" s="50"/>
      <c r="P79" s="50"/>
      <c r="Q79" s="50"/>
      <c r="R79" s="50"/>
      <c r="S79" s="50"/>
      <c r="T79" s="50"/>
      <c r="U79" s="50"/>
      <c r="V79" s="50"/>
      <c r="W79" s="50"/>
      <c r="X79" s="50"/>
      <c r="Y79" s="50"/>
      <c r="Z79" s="50"/>
    </row>
    <row r="80" spans="1:26" ht="15.75" customHeight="1" x14ac:dyDescent="0.35">
      <c r="A80" s="50"/>
      <c r="B80" s="53" t="s">
        <v>153</v>
      </c>
      <c r="C80" s="47" t="s">
        <v>202</v>
      </c>
      <c r="D80" s="181"/>
      <c r="E80" s="180">
        <f t="shared" si="1"/>
        <v>2.4166666666666661</v>
      </c>
      <c r="F80" s="183">
        <v>65.8</v>
      </c>
      <c r="G80" s="50"/>
      <c r="H80" s="50"/>
      <c r="I80" s="115"/>
      <c r="J80" s="50"/>
      <c r="K80" s="50"/>
      <c r="L80" s="50"/>
      <c r="M80" s="50"/>
      <c r="N80" s="50"/>
      <c r="O80" s="50"/>
      <c r="P80" s="50"/>
      <c r="Q80" s="50"/>
      <c r="R80" s="50"/>
      <c r="S80" s="50"/>
      <c r="T80" s="50"/>
      <c r="U80" s="50"/>
      <c r="V80" s="50"/>
      <c r="W80" s="50"/>
      <c r="X80" s="50"/>
      <c r="Y80" s="50"/>
      <c r="Z80" s="50"/>
    </row>
    <row r="81" spans="1:26" ht="15.75" customHeight="1" x14ac:dyDescent="0.35">
      <c r="A81" s="50"/>
      <c r="B81" s="53" t="s">
        <v>154</v>
      </c>
      <c r="C81" s="47" t="s">
        <v>202</v>
      </c>
      <c r="D81" s="181"/>
      <c r="E81" s="180">
        <f t="shared" si="1"/>
        <v>0</v>
      </c>
      <c r="F81" s="183" t="s">
        <v>207</v>
      </c>
      <c r="G81" s="50"/>
      <c r="H81" s="50"/>
      <c r="I81" s="115"/>
      <c r="J81" s="50"/>
      <c r="K81" s="50"/>
      <c r="L81" s="50"/>
      <c r="M81" s="50"/>
      <c r="N81" s="50"/>
      <c r="O81" s="50"/>
      <c r="P81" s="50"/>
      <c r="Q81" s="50"/>
      <c r="R81" s="50"/>
      <c r="S81" s="50"/>
      <c r="T81" s="50"/>
      <c r="U81" s="50"/>
      <c r="V81" s="50"/>
      <c r="W81" s="50"/>
      <c r="X81" s="50"/>
      <c r="Y81" s="50"/>
      <c r="Z81" s="50"/>
    </row>
    <row r="82" spans="1:26" ht="15.75" customHeight="1" x14ac:dyDescent="0.35">
      <c r="A82" s="50"/>
      <c r="B82" s="53" t="s">
        <v>155</v>
      </c>
      <c r="C82" s="47" t="s">
        <v>202</v>
      </c>
      <c r="D82" s="180"/>
      <c r="E82" s="180">
        <f t="shared" si="1"/>
        <v>0</v>
      </c>
      <c r="F82" s="183"/>
      <c r="G82" s="50"/>
      <c r="H82" s="50"/>
      <c r="I82" s="115"/>
      <c r="J82" s="50"/>
      <c r="K82" s="50"/>
      <c r="L82" s="50"/>
      <c r="M82" s="50"/>
      <c r="N82" s="50"/>
      <c r="O82" s="50"/>
      <c r="P82" s="50"/>
      <c r="Q82" s="50"/>
      <c r="R82" s="50"/>
      <c r="S82" s="50"/>
      <c r="T82" s="50"/>
      <c r="U82" s="50"/>
      <c r="V82" s="50"/>
      <c r="W82" s="50"/>
      <c r="X82" s="50"/>
      <c r="Y82" s="50"/>
      <c r="Z82" s="50"/>
    </row>
    <row r="83" spans="1:26" ht="15.75" customHeight="1" x14ac:dyDescent="0.35">
      <c r="A83" s="50"/>
      <c r="B83" s="53" t="s">
        <v>156</v>
      </c>
      <c r="C83" s="47" t="s">
        <v>202</v>
      </c>
      <c r="D83" s="180"/>
      <c r="E83" s="180">
        <f t="shared" si="1"/>
        <v>0</v>
      </c>
      <c r="F83" s="183">
        <v>21.92</v>
      </c>
      <c r="G83" s="50"/>
      <c r="H83" s="50"/>
      <c r="I83" s="115"/>
      <c r="J83" s="50"/>
      <c r="K83" s="50"/>
      <c r="L83" s="50"/>
      <c r="M83" s="50"/>
      <c r="N83" s="50"/>
      <c r="O83" s="50"/>
      <c r="P83" s="50"/>
      <c r="Q83" s="50"/>
      <c r="R83" s="50"/>
      <c r="S83" s="50"/>
      <c r="T83" s="50"/>
      <c r="U83" s="50"/>
      <c r="V83" s="50"/>
      <c r="W83" s="50"/>
      <c r="X83" s="50"/>
      <c r="Y83" s="50"/>
      <c r="Z83" s="50"/>
    </row>
    <row r="84" spans="1:26" ht="15.75" customHeight="1" x14ac:dyDescent="0.35">
      <c r="A84" s="50"/>
      <c r="B84" s="161" t="s">
        <v>96</v>
      </c>
      <c r="C84" s="47" t="s">
        <v>202</v>
      </c>
      <c r="D84" s="180"/>
      <c r="E84" s="180">
        <f t="shared" si="1"/>
        <v>0</v>
      </c>
      <c r="F84" s="183"/>
      <c r="G84" s="50"/>
      <c r="H84" s="50"/>
      <c r="I84" s="115"/>
      <c r="J84" s="50"/>
      <c r="K84" s="50"/>
      <c r="L84" s="50"/>
      <c r="M84" s="50"/>
      <c r="N84" s="50"/>
      <c r="O84" s="50"/>
      <c r="P84" s="50"/>
      <c r="Q84" s="50"/>
      <c r="R84" s="50"/>
      <c r="S84" s="50"/>
      <c r="T84" s="50"/>
      <c r="U84" s="50"/>
      <c r="V84" s="50"/>
      <c r="W84" s="50"/>
      <c r="X84" s="50"/>
      <c r="Y84" s="50"/>
      <c r="Z84" s="50"/>
    </row>
    <row r="85" spans="1:26" ht="15.75" customHeight="1" x14ac:dyDescent="0.35">
      <c r="A85" s="50"/>
      <c r="B85" s="53" t="s">
        <v>158</v>
      </c>
      <c r="C85" s="47" t="s">
        <v>202</v>
      </c>
      <c r="D85" s="180"/>
      <c r="E85" s="180">
        <f t="shared" si="1"/>
        <v>0</v>
      </c>
      <c r="F85" s="183"/>
      <c r="G85" s="50"/>
      <c r="H85" s="50"/>
      <c r="I85" s="115"/>
      <c r="J85" s="50"/>
      <c r="K85" s="50"/>
      <c r="L85" s="50"/>
      <c r="M85" s="50"/>
      <c r="N85" s="50"/>
      <c r="O85" s="50"/>
      <c r="P85" s="50"/>
      <c r="Q85" s="50"/>
      <c r="R85" s="50"/>
      <c r="S85" s="50"/>
      <c r="T85" s="50"/>
      <c r="U85" s="50"/>
      <c r="V85" s="50"/>
      <c r="W85" s="50"/>
      <c r="X85" s="50"/>
      <c r="Y85" s="50"/>
      <c r="Z85" s="50"/>
    </row>
    <row r="86" spans="1:26" ht="15.75" customHeight="1" x14ac:dyDescent="0.35">
      <c r="A86" s="50"/>
      <c r="B86" s="53"/>
      <c r="C86" s="47"/>
      <c r="D86" s="180"/>
      <c r="E86" s="180"/>
      <c r="F86" s="180"/>
      <c r="G86" s="50"/>
      <c r="H86" s="50"/>
      <c r="I86" s="115"/>
      <c r="J86" s="50"/>
      <c r="K86" s="50"/>
      <c r="L86" s="50"/>
      <c r="M86" s="50"/>
      <c r="N86" s="50"/>
      <c r="O86" s="50"/>
      <c r="P86" s="50"/>
      <c r="Q86" s="50"/>
      <c r="R86" s="50"/>
      <c r="S86" s="50"/>
      <c r="T86" s="50"/>
      <c r="U86" s="50"/>
      <c r="V86" s="50"/>
      <c r="W86" s="50"/>
      <c r="X86" s="50"/>
      <c r="Y86" s="50"/>
      <c r="Z86" s="50"/>
    </row>
    <row r="87" spans="1:26" ht="15.75" customHeight="1" x14ac:dyDescent="0.35">
      <c r="A87" s="50"/>
      <c r="B87" s="46"/>
      <c r="C87" s="47"/>
      <c r="D87" s="176">
        <v>2019</v>
      </c>
      <c r="E87" s="176">
        <v>2020</v>
      </c>
      <c r="F87" s="176">
        <v>2021</v>
      </c>
      <c r="G87" s="50"/>
      <c r="H87" s="50"/>
      <c r="I87" s="115"/>
      <c r="J87" s="50"/>
      <c r="K87" s="50"/>
      <c r="L87" s="50"/>
      <c r="M87" s="50"/>
      <c r="N87" s="50"/>
      <c r="O87" s="50"/>
      <c r="P87" s="50"/>
      <c r="Q87" s="50"/>
      <c r="R87" s="50"/>
      <c r="S87" s="50"/>
      <c r="T87" s="50"/>
      <c r="U87" s="50"/>
      <c r="V87" s="50"/>
      <c r="W87" s="50"/>
      <c r="X87" s="50"/>
      <c r="Y87" s="50"/>
      <c r="Z87" s="50"/>
    </row>
    <row r="88" spans="1:26" ht="15.75" customHeight="1" x14ac:dyDescent="0.35">
      <c r="A88" s="50"/>
      <c r="B88" s="175" t="s">
        <v>210</v>
      </c>
      <c r="C88" s="47" t="s">
        <v>94</v>
      </c>
      <c r="D88" s="186">
        <v>5252221</v>
      </c>
      <c r="E88" s="186">
        <v>4938423</v>
      </c>
      <c r="F88" s="186">
        <v>5206013.5</v>
      </c>
      <c r="G88" s="50" t="s">
        <v>211</v>
      </c>
      <c r="H88" s="50"/>
      <c r="I88" s="115"/>
      <c r="J88" s="50"/>
      <c r="K88" s="50"/>
      <c r="L88" s="50"/>
      <c r="M88" s="50"/>
      <c r="N88" s="50"/>
      <c r="O88" s="50"/>
      <c r="P88" s="50"/>
      <c r="Q88" s="50"/>
      <c r="R88" s="50"/>
      <c r="S88" s="50"/>
      <c r="T88" s="50"/>
      <c r="U88" s="50"/>
      <c r="V88" s="50"/>
      <c r="W88" s="50"/>
      <c r="X88" s="50"/>
      <c r="Y88" s="50"/>
      <c r="Z88" s="50"/>
    </row>
    <row r="89" spans="1:26" ht="15.75" customHeight="1" x14ac:dyDescent="0.35">
      <c r="A89" s="50"/>
      <c r="B89" s="175" t="s">
        <v>212</v>
      </c>
      <c r="C89" s="47" t="s">
        <v>94</v>
      </c>
      <c r="D89" s="90">
        <v>34304</v>
      </c>
      <c r="E89" s="90">
        <v>24384</v>
      </c>
      <c r="F89" s="90">
        <v>26363</v>
      </c>
      <c r="G89" s="50" t="s">
        <v>197</v>
      </c>
      <c r="H89" s="50"/>
      <c r="I89" s="115"/>
      <c r="J89" s="50"/>
      <c r="K89" s="50"/>
      <c r="L89" s="50"/>
      <c r="M89" s="50"/>
      <c r="N89" s="50"/>
      <c r="O89" s="50"/>
      <c r="P89" s="50"/>
      <c r="Q89" s="50"/>
      <c r="R89" s="50"/>
      <c r="S89" s="50"/>
      <c r="T89" s="50"/>
      <c r="U89" s="50"/>
      <c r="V89" s="50"/>
      <c r="W89" s="50"/>
      <c r="X89" s="50"/>
      <c r="Y89" s="50"/>
      <c r="Z89" s="50"/>
    </row>
    <row r="90" spans="1:26" ht="15.75" customHeight="1" x14ac:dyDescent="0.35">
      <c r="A90" s="50"/>
      <c r="B90" s="175" t="s">
        <v>213</v>
      </c>
      <c r="C90" s="47" t="s">
        <v>94</v>
      </c>
      <c r="D90" s="90">
        <v>4753</v>
      </c>
      <c r="E90" s="90">
        <v>3628</v>
      </c>
      <c r="F90" s="90">
        <v>3834</v>
      </c>
      <c r="G90" s="50" t="s">
        <v>197</v>
      </c>
      <c r="H90" s="50"/>
      <c r="I90" s="115"/>
      <c r="J90" s="50"/>
      <c r="K90" s="50"/>
      <c r="L90" s="50"/>
      <c r="M90" s="50"/>
      <c r="N90" s="50"/>
      <c r="O90" s="50"/>
      <c r="P90" s="50"/>
      <c r="Q90" s="50"/>
      <c r="R90" s="50"/>
      <c r="S90" s="50"/>
      <c r="T90" s="50"/>
      <c r="U90" s="50"/>
      <c r="V90" s="50"/>
      <c r="W90" s="50"/>
      <c r="X90" s="50"/>
      <c r="Y90" s="50"/>
      <c r="Z90" s="50"/>
    </row>
    <row r="91" spans="1:26" ht="15.75" customHeight="1" x14ac:dyDescent="0.35">
      <c r="A91" s="50"/>
      <c r="B91" s="58" t="s">
        <v>200</v>
      </c>
      <c r="C91" s="47" t="s">
        <v>94</v>
      </c>
      <c r="D91" s="187">
        <f t="shared" ref="D91:F91" si="2">D89+D90</f>
        <v>39057</v>
      </c>
      <c r="E91" s="187">
        <f t="shared" si="2"/>
        <v>28012</v>
      </c>
      <c r="F91" s="187">
        <f t="shared" si="2"/>
        <v>30197</v>
      </c>
      <c r="G91" s="50" t="s">
        <v>117</v>
      </c>
      <c r="H91" s="50"/>
      <c r="I91" s="115"/>
      <c r="J91" s="50"/>
      <c r="K91" s="50"/>
      <c r="L91" s="50"/>
      <c r="M91" s="50"/>
      <c r="N91" s="50"/>
      <c r="O91" s="50"/>
      <c r="P91" s="50"/>
      <c r="Q91" s="50"/>
      <c r="R91" s="50"/>
      <c r="S91" s="50"/>
      <c r="T91" s="50"/>
      <c r="U91" s="50"/>
      <c r="V91" s="50"/>
      <c r="W91" s="50"/>
      <c r="X91" s="50"/>
      <c r="Y91" s="50"/>
      <c r="Z91" s="50"/>
    </row>
    <row r="92" spans="1:26" ht="15.75" customHeight="1" x14ac:dyDescent="0.35">
      <c r="A92" s="50"/>
      <c r="B92" s="72" t="s">
        <v>214</v>
      </c>
      <c r="C92" s="188" t="s">
        <v>109</v>
      </c>
      <c r="D92" s="189">
        <f t="shared" ref="D92:F92" si="3">D91/D88</f>
        <v>7.4362826697505682E-3</v>
      </c>
      <c r="E92" s="189">
        <f t="shared" si="3"/>
        <v>5.6722561028085278E-3</v>
      </c>
      <c r="F92" s="189">
        <f t="shared" si="3"/>
        <v>5.8004075479251059E-3</v>
      </c>
      <c r="G92" s="134" t="s">
        <v>117</v>
      </c>
      <c r="H92" s="134"/>
      <c r="I92" s="136"/>
      <c r="J92" s="50"/>
      <c r="K92" s="50"/>
      <c r="L92" s="50"/>
      <c r="M92" s="50"/>
      <c r="N92" s="50"/>
      <c r="O92" s="50"/>
      <c r="P92" s="50"/>
      <c r="Q92" s="50"/>
      <c r="R92" s="50"/>
      <c r="S92" s="50"/>
      <c r="T92" s="50"/>
      <c r="U92" s="50"/>
      <c r="V92" s="50"/>
      <c r="W92" s="50"/>
      <c r="X92" s="50"/>
      <c r="Y92" s="50"/>
      <c r="Z92" s="50"/>
    </row>
    <row r="93" spans="1:26" ht="15.75" customHeight="1" x14ac:dyDescent="0.35">
      <c r="A93" s="50"/>
      <c r="B93" s="190"/>
      <c r="C93" s="47"/>
      <c r="D93" s="191"/>
      <c r="E93" s="191"/>
      <c r="F93" s="191"/>
      <c r="G93" s="50"/>
      <c r="H93" s="50"/>
      <c r="I93" s="50"/>
      <c r="J93" s="50"/>
      <c r="K93" s="50"/>
      <c r="L93" s="50"/>
      <c r="M93" s="50"/>
      <c r="N93" s="50"/>
      <c r="O93" s="50"/>
      <c r="P93" s="50"/>
      <c r="Q93" s="50"/>
      <c r="R93" s="50"/>
      <c r="S93" s="50"/>
      <c r="T93" s="50"/>
      <c r="U93" s="50"/>
      <c r="V93" s="50"/>
      <c r="W93" s="50"/>
      <c r="X93" s="50"/>
      <c r="Y93" s="50"/>
      <c r="Z93" s="50"/>
    </row>
    <row r="94" spans="1:26" ht="15.75" customHeight="1" x14ac:dyDescent="0.35">
      <c r="A94" s="50"/>
      <c r="B94" s="192"/>
      <c r="C94" s="47"/>
      <c r="D94" s="191"/>
      <c r="E94" s="191"/>
      <c r="F94" s="191"/>
      <c r="G94" s="50"/>
      <c r="H94" s="50"/>
      <c r="I94" s="50"/>
      <c r="J94" s="50"/>
      <c r="K94" s="50"/>
      <c r="L94" s="50"/>
      <c r="M94" s="50"/>
      <c r="N94" s="50"/>
      <c r="O94" s="50"/>
      <c r="P94" s="50"/>
      <c r="Q94" s="50"/>
      <c r="R94" s="50"/>
      <c r="S94" s="50"/>
      <c r="T94" s="50"/>
      <c r="U94" s="50"/>
      <c r="V94" s="50"/>
      <c r="W94" s="50"/>
      <c r="X94" s="50"/>
      <c r="Y94" s="50"/>
      <c r="Z94" s="50"/>
    </row>
    <row r="95" spans="1:26" ht="15.75" customHeight="1" x14ac:dyDescent="0.35">
      <c r="A95" s="50"/>
      <c r="B95" s="190"/>
      <c r="C95" s="47"/>
      <c r="D95" s="90"/>
      <c r="E95" s="90"/>
      <c r="F95" s="90"/>
      <c r="G95" s="126"/>
      <c r="H95" s="50"/>
      <c r="I95" s="50"/>
      <c r="J95" s="50"/>
      <c r="K95" s="50"/>
      <c r="L95" s="50"/>
      <c r="M95" s="50"/>
      <c r="N95" s="50"/>
      <c r="O95" s="50"/>
      <c r="P95" s="50"/>
      <c r="Q95" s="50"/>
      <c r="R95" s="50"/>
      <c r="S95" s="50"/>
      <c r="T95" s="50"/>
      <c r="U95" s="50"/>
      <c r="V95" s="50"/>
      <c r="W95" s="50"/>
      <c r="X95" s="50"/>
      <c r="Y95" s="50"/>
      <c r="Z95" s="50"/>
    </row>
    <row r="96" spans="1:26" ht="15.75" customHeight="1" x14ac:dyDescent="0.35">
      <c r="A96" s="50"/>
      <c r="B96" s="35" t="s">
        <v>55</v>
      </c>
      <c r="C96" s="38"/>
      <c r="D96" s="565" t="s">
        <v>129</v>
      </c>
      <c r="E96" s="552"/>
      <c r="F96" s="553"/>
      <c r="G96" s="112" t="s">
        <v>130</v>
      </c>
      <c r="H96" s="38" t="e">
        <f t="shared" ref="H96:P96" si="4">+G96+1</f>
        <v>#VALUE!</v>
      </c>
      <c r="I96" s="38" t="e">
        <f t="shared" si="4"/>
        <v>#VALUE!</v>
      </c>
      <c r="J96" s="38" t="e">
        <f t="shared" si="4"/>
        <v>#VALUE!</v>
      </c>
      <c r="K96" s="38" t="e">
        <f t="shared" si="4"/>
        <v>#VALUE!</v>
      </c>
      <c r="L96" s="38" t="e">
        <f t="shared" si="4"/>
        <v>#VALUE!</v>
      </c>
      <c r="M96" s="38" t="e">
        <f t="shared" si="4"/>
        <v>#VALUE!</v>
      </c>
      <c r="N96" s="38" t="e">
        <f t="shared" si="4"/>
        <v>#VALUE!</v>
      </c>
      <c r="O96" s="38" t="e">
        <f t="shared" si="4"/>
        <v>#VALUE!</v>
      </c>
      <c r="P96" s="39" t="e">
        <f t="shared" si="4"/>
        <v>#VALUE!</v>
      </c>
      <c r="Q96" s="50"/>
      <c r="R96" s="50"/>
      <c r="S96" s="50"/>
      <c r="T96" s="50"/>
      <c r="U96" s="50"/>
      <c r="V96" s="50"/>
      <c r="W96" s="50"/>
      <c r="X96" s="50"/>
      <c r="Y96" s="50"/>
      <c r="Z96" s="50"/>
    </row>
    <row r="97" spans="1:26" ht="15.75" customHeight="1" x14ac:dyDescent="0.35">
      <c r="A97" s="50"/>
      <c r="B97" s="40"/>
      <c r="C97" s="113"/>
      <c r="D97" s="43" t="e">
        <f>+'[1]Input Data'!E11</f>
        <v>#REF!</v>
      </c>
      <c r="E97" s="43" t="e">
        <f>+D97+1</f>
        <v>#REF!</v>
      </c>
      <c r="F97" s="43" t="e">
        <f t="shared" ref="F97:P97" si="5">E97+1</f>
        <v>#REF!</v>
      </c>
      <c r="G97" s="43" t="e">
        <f t="shared" si="5"/>
        <v>#REF!</v>
      </c>
      <c r="H97" s="43" t="e">
        <f t="shared" si="5"/>
        <v>#REF!</v>
      </c>
      <c r="I97" s="43" t="e">
        <f t="shared" si="5"/>
        <v>#REF!</v>
      </c>
      <c r="J97" s="43" t="e">
        <f t="shared" si="5"/>
        <v>#REF!</v>
      </c>
      <c r="K97" s="43" t="e">
        <f t="shared" si="5"/>
        <v>#REF!</v>
      </c>
      <c r="L97" s="43" t="e">
        <f t="shared" si="5"/>
        <v>#REF!</v>
      </c>
      <c r="M97" s="43" t="e">
        <f t="shared" si="5"/>
        <v>#REF!</v>
      </c>
      <c r="N97" s="43" t="e">
        <f t="shared" si="5"/>
        <v>#REF!</v>
      </c>
      <c r="O97" s="43" t="e">
        <f t="shared" si="5"/>
        <v>#REF!</v>
      </c>
      <c r="P97" s="114" t="e">
        <f t="shared" si="5"/>
        <v>#REF!</v>
      </c>
      <c r="Q97" s="50"/>
      <c r="R97" s="50"/>
      <c r="S97" s="50"/>
      <c r="T97" s="50"/>
      <c r="U97" s="50"/>
      <c r="V97" s="50"/>
      <c r="W97" s="50"/>
      <c r="X97" s="50"/>
      <c r="Y97" s="50"/>
      <c r="Z97" s="50"/>
    </row>
    <row r="98" spans="1:26" ht="15.75" customHeight="1" x14ac:dyDescent="0.35">
      <c r="A98" s="50"/>
      <c r="B98" s="46" t="s">
        <v>215</v>
      </c>
      <c r="C98" s="47"/>
      <c r="D98" s="49"/>
      <c r="E98" s="49"/>
      <c r="F98" s="49"/>
      <c r="G98" s="49"/>
      <c r="H98" s="49"/>
      <c r="I98" s="49"/>
      <c r="J98" s="49"/>
      <c r="K98" s="49"/>
      <c r="L98" s="49"/>
      <c r="M98" s="49"/>
      <c r="N98" s="50"/>
      <c r="O98" s="50"/>
      <c r="P98" s="115"/>
      <c r="Q98" s="50"/>
      <c r="R98" s="50"/>
      <c r="S98" s="50"/>
      <c r="T98" s="50"/>
      <c r="U98" s="50"/>
      <c r="V98" s="50"/>
      <c r="W98" s="50"/>
      <c r="X98" s="50"/>
      <c r="Y98" s="50"/>
      <c r="Z98" s="50"/>
    </row>
    <row r="99" spans="1:26" ht="15.75" customHeight="1" x14ac:dyDescent="0.35">
      <c r="A99" s="50"/>
      <c r="B99" s="53" t="s">
        <v>145</v>
      </c>
      <c r="C99" s="116" t="s">
        <v>94</v>
      </c>
      <c r="D99" s="193">
        <f t="shared" ref="D99:F99" si="6">(D23*100%)/D$92</f>
        <v>3297211.9389354023</v>
      </c>
      <c r="E99" s="193">
        <f t="shared" si="6"/>
        <v>3227816.1754605169</v>
      </c>
      <c r="F99" s="193">
        <f t="shared" si="6"/>
        <v>3934551.1175613473</v>
      </c>
      <c r="G99" s="49">
        <f t="shared" ref="G99:P99" si="7">F99*(1+$D$11)</f>
        <v>4111999.3729633638</v>
      </c>
      <c r="H99" s="49">
        <f t="shared" si="7"/>
        <v>4297450.5446840115</v>
      </c>
      <c r="I99" s="49">
        <f t="shared" si="7"/>
        <v>4491265.5642492604</v>
      </c>
      <c r="J99" s="49">
        <f t="shared" si="7"/>
        <v>4693821.6411969019</v>
      </c>
      <c r="K99" s="49">
        <f t="shared" si="7"/>
        <v>4905512.9972148817</v>
      </c>
      <c r="L99" s="49">
        <f t="shared" si="7"/>
        <v>5126751.6333892727</v>
      </c>
      <c r="M99" s="49">
        <f t="shared" si="7"/>
        <v>5357968.1320551289</v>
      </c>
      <c r="N99" s="49">
        <f t="shared" si="7"/>
        <v>5599612.494810815</v>
      </c>
      <c r="O99" s="49">
        <f t="shared" si="7"/>
        <v>5852155.0183267826</v>
      </c>
      <c r="P99" s="117">
        <f t="shared" si="7"/>
        <v>6116087.2096533198</v>
      </c>
      <c r="Q99" s="50"/>
      <c r="R99" s="50"/>
      <c r="S99" s="50"/>
      <c r="T99" s="50"/>
      <c r="U99" s="50"/>
      <c r="V99" s="50"/>
      <c r="W99" s="50"/>
      <c r="X99" s="50"/>
      <c r="Y99" s="50"/>
      <c r="Z99" s="50"/>
    </row>
    <row r="100" spans="1:26" ht="15.75" customHeight="1" x14ac:dyDescent="0.35">
      <c r="A100" s="50"/>
      <c r="B100" s="53" t="s">
        <v>146</v>
      </c>
      <c r="C100" s="116" t="s">
        <v>94</v>
      </c>
      <c r="D100" s="193">
        <f t="shared" ref="D100:F100" si="8">(D24*100%)/D$92</f>
        <v>211261.46890442175</v>
      </c>
      <c r="E100" s="193">
        <f t="shared" si="8"/>
        <v>228304.21908467801</v>
      </c>
      <c r="F100" s="193">
        <f t="shared" si="8"/>
        <v>137059.33478491241</v>
      </c>
      <c r="G100" s="49">
        <f t="shared" ref="G100:P100" si="9">F100*(1+$D$11)</f>
        <v>143240.71078371195</v>
      </c>
      <c r="H100" s="49">
        <f t="shared" si="9"/>
        <v>149700.86684005737</v>
      </c>
      <c r="I100" s="49">
        <f t="shared" si="9"/>
        <v>156452.37593454393</v>
      </c>
      <c r="J100" s="49">
        <f t="shared" si="9"/>
        <v>163508.37808919186</v>
      </c>
      <c r="K100" s="49">
        <f t="shared" si="9"/>
        <v>170882.60594101439</v>
      </c>
      <c r="L100" s="49">
        <f t="shared" si="9"/>
        <v>178589.41146895412</v>
      </c>
      <c r="M100" s="49">
        <f t="shared" si="9"/>
        <v>186643.79392620394</v>
      </c>
      <c r="N100" s="49">
        <f t="shared" si="9"/>
        <v>195061.42903227572</v>
      </c>
      <c r="O100" s="49">
        <f t="shared" si="9"/>
        <v>203858.69948163134</v>
      </c>
      <c r="P100" s="117">
        <f t="shared" si="9"/>
        <v>213052.7268282529</v>
      </c>
      <c r="Q100" s="50"/>
      <c r="R100" s="50"/>
      <c r="S100" s="50"/>
      <c r="T100" s="50"/>
      <c r="U100" s="50"/>
      <c r="V100" s="50"/>
      <c r="W100" s="50"/>
      <c r="X100" s="50"/>
      <c r="Y100" s="50"/>
      <c r="Z100" s="50"/>
    </row>
    <row r="101" spans="1:26" ht="15.75" customHeight="1" x14ac:dyDescent="0.35">
      <c r="A101" s="50"/>
      <c r="B101" s="53" t="s">
        <v>147</v>
      </c>
      <c r="C101" s="116" t="s">
        <v>94</v>
      </c>
      <c r="D101" s="193">
        <f t="shared" ref="D101:F101" si="10">(D25*100%)/D$92</f>
        <v>114573.37460634457</v>
      </c>
      <c r="E101" s="193">
        <f t="shared" si="10"/>
        <v>186169.30915322006</v>
      </c>
      <c r="F101" s="193">
        <f t="shared" si="10"/>
        <v>208778.43323840116</v>
      </c>
      <c r="G101" s="49">
        <f t="shared" ref="G101:P101" si="11">F101*(1+$D$11)</f>
        <v>218194.34057745305</v>
      </c>
      <c r="H101" s="49">
        <f t="shared" si="11"/>
        <v>228034.90533749617</v>
      </c>
      <c r="I101" s="49">
        <f t="shared" si="11"/>
        <v>238319.27956821723</v>
      </c>
      <c r="J101" s="49">
        <f t="shared" si="11"/>
        <v>249067.4790767438</v>
      </c>
      <c r="K101" s="49">
        <f t="shared" si="11"/>
        <v>260300.42238310492</v>
      </c>
      <c r="L101" s="49">
        <f t="shared" si="11"/>
        <v>272039.97143258294</v>
      </c>
      <c r="M101" s="49">
        <f t="shared" si="11"/>
        <v>284308.97414419241</v>
      </c>
      <c r="N101" s="49">
        <f t="shared" si="11"/>
        <v>297131.30887809547</v>
      </c>
      <c r="O101" s="49">
        <f t="shared" si="11"/>
        <v>310531.93090849754</v>
      </c>
      <c r="P101" s="117">
        <f t="shared" si="11"/>
        <v>324536.92099247075</v>
      </c>
      <c r="Q101" s="50"/>
      <c r="R101" s="50"/>
      <c r="S101" s="50"/>
      <c r="T101" s="50"/>
      <c r="U101" s="50"/>
      <c r="V101" s="50"/>
      <c r="W101" s="50"/>
      <c r="X101" s="50"/>
      <c r="Y101" s="50"/>
      <c r="Z101" s="50"/>
    </row>
    <row r="102" spans="1:26" ht="15.75" customHeight="1" x14ac:dyDescent="0.35">
      <c r="A102" s="50"/>
      <c r="B102" s="53" t="s">
        <v>148</v>
      </c>
      <c r="C102" s="116" t="s">
        <v>94</v>
      </c>
      <c r="D102" s="193">
        <f t="shared" ref="D102:F102" si="12">(D26*100%)/D$92</f>
        <v>0</v>
      </c>
      <c r="E102" s="193">
        <f t="shared" si="12"/>
        <v>0</v>
      </c>
      <c r="F102" s="193">
        <f t="shared" si="12"/>
        <v>1034.4100738483955</v>
      </c>
      <c r="G102" s="49">
        <f t="shared" ref="G102:P102" si="13">F102*(1+$D$11)</f>
        <v>1081.0619681789581</v>
      </c>
      <c r="H102" s="49">
        <f t="shared" si="13"/>
        <v>1129.8178629438289</v>
      </c>
      <c r="I102" s="49">
        <f t="shared" si="13"/>
        <v>1180.7726485625956</v>
      </c>
      <c r="J102" s="49">
        <f t="shared" si="13"/>
        <v>1234.0254950127685</v>
      </c>
      <c r="K102" s="49">
        <f t="shared" si="13"/>
        <v>1289.6800448378442</v>
      </c>
      <c r="L102" s="49">
        <f t="shared" si="13"/>
        <v>1347.8446148600308</v>
      </c>
      <c r="M102" s="49">
        <f t="shared" si="13"/>
        <v>1408.632406990218</v>
      </c>
      <c r="N102" s="49">
        <f t="shared" si="13"/>
        <v>1472.1617285454768</v>
      </c>
      <c r="O102" s="49">
        <f t="shared" si="13"/>
        <v>1538.5562225028777</v>
      </c>
      <c r="P102" s="117">
        <f t="shared" si="13"/>
        <v>1607.9451081377574</v>
      </c>
      <c r="Q102" s="50"/>
      <c r="R102" s="50"/>
      <c r="S102" s="50"/>
      <c r="T102" s="50"/>
      <c r="U102" s="50"/>
      <c r="V102" s="50"/>
      <c r="W102" s="50"/>
      <c r="X102" s="50"/>
      <c r="Y102" s="50"/>
      <c r="Z102" s="50"/>
    </row>
    <row r="103" spans="1:26" ht="15.75" customHeight="1" x14ac:dyDescent="0.35">
      <c r="A103" s="50"/>
      <c r="B103" s="53" t="s">
        <v>149</v>
      </c>
      <c r="C103" s="116" t="s">
        <v>94</v>
      </c>
      <c r="D103" s="193">
        <f t="shared" ref="D103:F103" si="14">(D27*100%)/D$92</f>
        <v>145906.2340937604</v>
      </c>
      <c r="E103" s="193">
        <f t="shared" si="14"/>
        <v>178235.95791089535</v>
      </c>
      <c r="F103" s="193">
        <f t="shared" si="14"/>
        <v>96200.136867900786</v>
      </c>
      <c r="G103" s="49">
        <f t="shared" ref="G103:P103" si="15">F103*(1+$D$11)</f>
        <v>100538.7630406431</v>
      </c>
      <c r="H103" s="49">
        <f t="shared" si="15"/>
        <v>105073.06125377609</v>
      </c>
      <c r="I103" s="49">
        <f t="shared" si="15"/>
        <v>109811.85631632138</v>
      </c>
      <c r="J103" s="49">
        <f t="shared" si="15"/>
        <v>114764.37103618747</v>
      </c>
      <c r="K103" s="49">
        <f t="shared" si="15"/>
        <v>119940.24416991952</v>
      </c>
      <c r="L103" s="49">
        <f t="shared" si="15"/>
        <v>125349.54918198287</v>
      </c>
      <c r="M103" s="49">
        <f t="shared" si="15"/>
        <v>131002.81385009029</v>
      </c>
      <c r="N103" s="49">
        <f t="shared" si="15"/>
        <v>136911.04075472936</v>
      </c>
      <c r="O103" s="49">
        <f t="shared" si="15"/>
        <v>143085.72869276765</v>
      </c>
      <c r="P103" s="117">
        <f t="shared" si="15"/>
        <v>149538.89505681145</v>
      </c>
      <c r="Q103" s="50"/>
      <c r="R103" s="50"/>
      <c r="S103" s="50"/>
      <c r="T103" s="50"/>
      <c r="U103" s="50"/>
      <c r="V103" s="50"/>
      <c r="W103" s="50"/>
      <c r="X103" s="50"/>
      <c r="Y103" s="50"/>
      <c r="Z103" s="50"/>
    </row>
    <row r="104" spans="1:26" ht="15.75" customHeight="1" x14ac:dyDescent="0.35">
      <c r="A104" s="50"/>
      <c r="B104" s="53" t="s">
        <v>198</v>
      </c>
      <c r="C104" s="116" t="s">
        <v>94</v>
      </c>
      <c r="D104" s="193">
        <f t="shared" ref="D104:F104" si="16">(D28*100%)/D$92</f>
        <v>294367.50823155901</v>
      </c>
      <c r="E104" s="193">
        <f t="shared" si="16"/>
        <v>190400.42981579324</v>
      </c>
      <c r="F104" s="193">
        <f t="shared" si="16"/>
        <v>86373.241166341031</v>
      </c>
      <c r="G104" s="49">
        <f t="shared" ref="G104:P104" si="17">F104*(1+$D$11)</f>
        <v>90268.674342943006</v>
      </c>
      <c r="H104" s="49">
        <f t="shared" si="17"/>
        <v>94339.79155580973</v>
      </c>
      <c r="I104" s="49">
        <f t="shared" si="17"/>
        <v>98594.516154976736</v>
      </c>
      <c r="J104" s="49">
        <f t="shared" si="17"/>
        <v>103041.12883356618</v>
      </c>
      <c r="K104" s="49">
        <f t="shared" si="17"/>
        <v>107688.28374396001</v>
      </c>
      <c r="L104" s="49">
        <f t="shared" si="17"/>
        <v>112545.0253408126</v>
      </c>
      <c r="M104" s="49">
        <f t="shared" si="17"/>
        <v>117620.80598368324</v>
      </c>
      <c r="N104" s="49">
        <f t="shared" si="17"/>
        <v>122925.50433354735</v>
      </c>
      <c r="O104" s="49">
        <f t="shared" si="17"/>
        <v>128469.44457899033</v>
      </c>
      <c r="P104" s="117">
        <f t="shared" si="17"/>
        <v>134263.41652950278</v>
      </c>
      <c r="Q104" s="50"/>
      <c r="R104" s="50"/>
      <c r="S104" s="50"/>
      <c r="T104" s="50"/>
      <c r="U104" s="50"/>
      <c r="V104" s="50"/>
      <c r="W104" s="50"/>
      <c r="X104" s="50"/>
      <c r="Y104" s="50"/>
      <c r="Z104" s="50"/>
    </row>
    <row r="105" spans="1:26" ht="15.75" customHeight="1" x14ac:dyDescent="0.35">
      <c r="A105" s="50"/>
      <c r="B105" s="53" t="s">
        <v>199</v>
      </c>
      <c r="C105" s="116" t="s">
        <v>94</v>
      </c>
      <c r="D105" s="193">
        <f t="shared" ref="D105:F105" si="18">(D29*100%)/D$92</f>
        <v>10489.111759735772</v>
      </c>
      <c r="E105" s="193">
        <f t="shared" si="18"/>
        <v>9520.0214907896625</v>
      </c>
      <c r="F105" s="193">
        <f t="shared" si="18"/>
        <v>72408.705169387686</v>
      </c>
      <c r="G105" s="49">
        <f t="shared" ref="G105:P105" si="19">F105*(1+$D$11)</f>
        <v>75674.337772527069</v>
      </c>
      <c r="H105" s="49">
        <f t="shared" si="19"/>
        <v>79087.250406068037</v>
      </c>
      <c r="I105" s="49">
        <f t="shared" si="19"/>
        <v>82654.0853993817</v>
      </c>
      <c r="J105" s="49">
        <f t="shared" si="19"/>
        <v>86381.784650893809</v>
      </c>
      <c r="K105" s="49">
        <f t="shared" si="19"/>
        <v>90277.603138649109</v>
      </c>
      <c r="L105" s="49">
        <f t="shared" si="19"/>
        <v>94349.123040202176</v>
      </c>
      <c r="M105" s="49">
        <f t="shared" si="19"/>
        <v>98604.268489315291</v>
      </c>
      <c r="N105" s="49">
        <f t="shared" si="19"/>
        <v>103051.32099818341</v>
      </c>
      <c r="O105" s="49">
        <f t="shared" si="19"/>
        <v>107698.93557520147</v>
      </c>
      <c r="P105" s="117">
        <f t="shared" si="19"/>
        <v>112556.15756964304</v>
      </c>
      <c r="Q105" s="50"/>
      <c r="R105" s="50"/>
      <c r="S105" s="50"/>
      <c r="T105" s="50"/>
      <c r="U105" s="50"/>
      <c r="V105" s="50"/>
      <c r="W105" s="50"/>
      <c r="X105" s="50"/>
      <c r="Y105" s="50"/>
      <c r="Z105" s="50"/>
    </row>
    <row r="106" spans="1:26" ht="15.75" customHeight="1" x14ac:dyDescent="0.35">
      <c r="A106" s="50"/>
      <c r="B106" s="53" t="s">
        <v>152</v>
      </c>
      <c r="C106" s="116" t="s">
        <v>94</v>
      </c>
      <c r="D106" s="193">
        <f t="shared" ref="D106:F106" si="20">(D30*100%)/D$92</f>
        <v>71137.693857695165</v>
      </c>
      <c r="E106" s="193">
        <f t="shared" si="20"/>
        <v>62585.326467228333</v>
      </c>
      <c r="F106" s="193">
        <f t="shared" si="20"/>
        <v>6551.2638010398387</v>
      </c>
      <c r="G106" s="49">
        <f t="shared" ref="G106:P106" si="21">F106*(1+$D$11)</f>
        <v>6846.7257984667349</v>
      </c>
      <c r="H106" s="49">
        <f t="shared" si="21"/>
        <v>7155.5131319775837</v>
      </c>
      <c r="I106" s="49">
        <f t="shared" si="21"/>
        <v>7478.2267742297718</v>
      </c>
      <c r="J106" s="49">
        <f t="shared" si="21"/>
        <v>7815.4948017475335</v>
      </c>
      <c r="K106" s="49">
        <f t="shared" si="21"/>
        <v>8167.9736173063466</v>
      </c>
      <c r="L106" s="49">
        <f t="shared" si="21"/>
        <v>8536.3492274468626</v>
      </c>
      <c r="M106" s="49">
        <f t="shared" si="21"/>
        <v>8921.3385776047162</v>
      </c>
      <c r="N106" s="49">
        <f t="shared" si="21"/>
        <v>9323.6909474546883</v>
      </c>
      <c r="O106" s="49">
        <f t="shared" si="21"/>
        <v>9744.1894091848935</v>
      </c>
      <c r="P106" s="117">
        <f t="shared" si="21"/>
        <v>10183.652351539131</v>
      </c>
      <c r="Q106" s="50"/>
      <c r="R106" s="50"/>
      <c r="S106" s="50"/>
      <c r="T106" s="50"/>
      <c r="U106" s="50"/>
      <c r="V106" s="50"/>
      <c r="W106" s="50"/>
      <c r="X106" s="50"/>
      <c r="Y106" s="50"/>
      <c r="Z106" s="50"/>
    </row>
    <row r="107" spans="1:26" ht="15.75" customHeight="1" x14ac:dyDescent="0.35">
      <c r="A107" s="50"/>
      <c r="B107" s="53" t="s">
        <v>153</v>
      </c>
      <c r="C107" s="116" t="s">
        <v>94</v>
      </c>
      <c r="D107" s="193">
        <f t="shared" ref="D107:F107" si="22">(D31*100%)/D$92</f>
        <v>468110.23122615664</v>
      </c>
      <c r="E107" s="193">
        <f t="shared" si="22"/>
        <v>203975.27527488221</v>
      </c>
      <c r="F107" s="193">
        <f t="shared" si="22"/>
        <v>2068.8201476967911</v>
      </c>
      <c r="G107" s="49">
        <f t="shared" ref="G107:P107" si="23">F107*(1+$D$11)</f>
        <v>2162.1239363579161</v>
      </c>
      <c r="H107" s="49">
        <f t="shared" si="23"/>
        <v>2259.6357258876578</v>
      </c>
      <c r="I107" s="49">
        <f t="shared" si="23"/>
        <v>2361.5452971251912</v>
      </c>
      <c r="J107" s="49">
        <f t="shared" si="23"/>
        <v>2468.050990025537</v>
      </c>
      <c r="K107" s="49">
        <f t="shared" si="23"/>
        <v>2579.3600896756884</v>
      </c>
      <c r="L107" s="49">
        <f t="shared" si="23"/>
        <v>2695.6892297200616</v>
      </c>
      <c r="M107" s="49">
        <f t="shared" si="23"/>
        <v>2817.264813980436</v>
      </c>
      <c r="N107" s="49">
        <f t="shared" si="23"/>
        <v>2944.3234570909535</v>
      </c>
      <c r="O107" s="49">
        <f t="shared" si="23"/>
        <v>3077.1124450057555</v>
      </c>
      <c r="P107" s="117">
        <f t="shared" si="23"/>
        <v>3215.8902162755148</v>
      </c>
      <c r="Q107" s="50"/>
      <c r="R107" s="50"/>
      <c r="S107" s="50"/>
      <c r="T107" s="50"/>
      <c r="U107" s="50"/>
      <c r="V107" s="50"/>
      <c r="W107" s="50"/>
      <c r="X107" s="50"/>
      <c r="Y107" s="50"/>
      <c r="Z107" s="50"/>
    </row>
    <row r="108" spans="1:26" ht="15.75" customHeight="1" x14ac:dyDescent="0.35">
      <c r="A108" s="50"/>
      <c r="B108" s="53" t="s">
        <v>154</v>
      </c>
      <c r="C108" s="116" t="s">
        <v>94</v>
      </c>
      <c r="D108" s="193">
        <f t="shared" ref="D108:F108" si="24">(D32*100%)/D$92</f>
        <v>0</v>
      </c>
      <c r="E108" s="193">
        <f t="shared" si="24"/>
        <v>0</v>
      </c>
      <c r="F108" s="193">
        <f t="shared" si="24"/>
        <v>0</v>
      </c>
      <c r="G108" s="49">
        <f t="shared" ref="G108:P108" si="25">F108*(1+$D$11)</f>
        <v>0</v>
      </c>
      <c r="H108" s="49">
        <f t="shared" si="25"/>
        <v>0</v>
      </c>
      <c r="I108" s="49">
        <f t="shared" si="25"/>
        <v>0</v>
      </c>
      <c r="J108" s="49">
        <f t="shared" si="25"/>
        <v>0</v>
      </c>
      <c r="K108" s="49">
        <f t="shared" si="25"/>
        <v>0</v>
      </c>
      <c r="L108" s="49">
        <f t="shared" si="25"/>
        <v>0</v>
      </c>
      <c r="M108" s="49">
        <f t="shared" si="25"/>
        <v>0</v>
      </c>
      <c r="N108" s="49">
        <f t="shared" si="25"/>
        <v>0</v>
      </c>
      <c r="O108" s="49">
        <f t="shared" si="25"/>
        <v>0</v>
      </c>
      <c r="P108" s="117">
        <f t="shared" si="25"/>
        <v>0</v>
      </c>
      <c r="Q108" s="50"/>
      <c r="R108" s="50"/>
      <c r="S108" s="50"/>
      <c r="T108" s="50"/>
      <c r="U108" s="50"/>
      <c r="V108" s="50"/>
      <c r="W108" s="50"/>
      <c r="X108" s="50"/>
      <c r="Y108" s="50"/>
      <c r="Z108" s="50"/>
    </row>
    <row r="109" spans="1:26" ht="15.75" customHeight="1" x14ac:dyDescent="0.35">
      <c r="A109" s="50"/>
      <c r="B109" s="53" t="s">
        <v>155</v>
      </c>
      <c r="C109" s="116" t="s">
        <v>94</v>
      </c>
      <c r="D109" s="193">
        <f t="shared" ref="D109:F109" si="26">(D33*100%)/D$92</f>
        <v>0</v>
      </c>
      <c r="E109" s="193">
        <f t="shared" si="26"/>
        <v>0</v>
      </c>
      <c r="F109" s="193">
        <f t="shared" si="26"/>
        <v>0</v>
      </c>
      <c r="G109" s="49">
        <f t="shared" ref="G109:P109" si="27">F109*(1+$D$11)</f>
        <v>0</v>
      </c>
      <c r="H109" s="49">
        <f t="shared" si="27"/>
        <v>0</v>
      </c>
      <c r="I109" s="49">
        <f t="shared" si="27"/>
        <v>0</v>
      </c>
      <c r="J109" s="49">
        <f t="shared" si="27"/>
        <v>0</v>
      </c>
      <c r="K109" s="49">
        <f t="shared" si="27"/>
        <v>0</v>
      </c>
      <c r="L109" s="49">
        <f t="shared" si="27"/>
        <v>0</v>
      </c>
      <c r="M109" s="49">
        <f t="shared" si="27"/>
        <v>0</v>
      </c>
      <c r="N109" s="49">
        <f t="shared" si="27"/>
        <v>0</v>
      </c>
      <c r="O109" s="49">
        <f t="shared" si="27"/>
        <v>0</v>
      </c>
      <c r="P109" s="117">
        <f t="shared" si="27"/>
        <v>0</v>
      </c>
      <c r="Q109" s="50"/>
      <c r="R109" s="50"/>
      <c r="S109" s="50"/>
      <c r="T109" s="50"/>
      <c r="U109" s="50"/>
      <c r="V109" s="50"/>
      <c r="W109" s="50"/>
      <c r="X109" s="50"/>
      <c r="Y109" s="50"/>
      <c r="Z109" s="50"/>
    </row>
    <row r="110" spans="1:26" ht="15.75" customHeight="1" x14ac:dyDescent="0.35">
      <c r="A110" s="50"/>
      <c r="B110" s="53" t="s">
        <v>156</v>
      </c>
      <c r="C110" s="116" t="s">
        <v>94</v>
      </c>
      <c r="D110" s="193">
        <f t="shared" ref="D110:F110" si="28">(D34*100%)/D$92</f>
        <v>0</v>
      </c>
      <c r="E110" s="193">
        <f t="shared" si="28"/>
        <v>11811.878516350136</v>
      </c>
      <c r="F110" s="193">
        <f t="shared" si="28"/>
        <v>0</v>
      </c>
      <c r="G110" s="49">
        <f t="shared" ref="G110:P110" si="29">F110*(1+$D$11)</f>
        <v>0</v>
      </c>
      <c r="H110" s="49">
        <f t="shared" si="29"/>
        <v>0</v>
      </c>
      <c r="I110" s="49">
        <f t="shared" si="29"/>
        <v>0</v>
      </c>
      <c r="J110" s="49">
        <f t="shared" si="29"/>
        <v>0</v>
      </c>
      <c r="K110" s="49">
        <f t="shared" si="29"/>
        <v>0</v>
      </c>
      <c r="L110" s="49">
        <f t="shared" si="29"/>
        <v>0</v>
      </c>
      <c r="M110" s="49">
        <f t="shared" si="29"/>
        <v>0</v>
      </c>
      <c r="N110" s="49">
        <f t="shared" si="29"/>
        <v>0</v>
      </c>
      <c r="O110" s="49">
        <f t="shared" si="29"/>
        <v>0</v>
      </c>
      <c r="P110" s="117">
        <f t="shared" si="29"/>
        <v>0</v>
      </c>
      <c r="Q110" s="50"/>
      <c r="R110" s="50"/>
      <c r="S110" s="50"/>
      <c r="T110" s="50"/>
      <c r="U110" s="50"/>
      <c r="V110" s="50"/>
      <c r="W110" s="50"/>
      <c r="X110" s="50"/>
      <c r="Y110" s="50"/>
      <c r="Z110" s="50"/>
    </row>
    <row r="111" spans="1:26" ht="15.75" customHeight="1" x14ac:dyDescent="0.35">
      <c r="A111" s="50"/>
      <c r="B111" s="161" t="s">
        <v>96</v>
      </c>
      <c r="C111" s="116" t="s">
        <v>94</v>
      </c>
      <c r="D111" s="193">
        <f t="shared" ref="D111:F111" si="30">(D35*100%)/D$92</f>
        <v>0</v>
      </c>
      <c r="E111" s="193">
        <f t="shared" si="30"/>
        <v>0</v>
      </c>
      <c r="F111" s="193">
        <f t="shared" si="30"/>
        <v>0</v>
      </c>
      <c r="G111" s="49">
        <f t="shared" ref="G111:P111" si="31">F111*(1+$D$11)</f>
        <v>0</v>
      </c>
      <c r="H111" s="49">
        <f t="shared" si="31"/>
        <v>0</v>
      </c>
      <c r="I111" s="49">
        <f t="shared" si="31"/>
        <v>0</v>
      </c>
      <c r="J111" s="49">
        <f t="shared" si="31"/>
        <v>0</v>
      </c>
      <c r="K111" s="49">
        <f t="shared" si="31"/>
        <v>0</v>
      </c>
      <c r="L111" s="49">
        <f t="shared" si="31"/>
        <v>0</v>
      </c>
      <c r="M111" s="49">
        <f t="shared" si="31"/>
        <v>0</v>
      </c>
      <c r="N111" s="49">
        <f t="shared" si="31"/>
        <v>0</v>
      </c>
      <c r="O111" s="49">
        <f t="shared" si="31"/>
        <v>0</v>
      </c>
      <c r="P111" s="117">
        <f t="shared" si="31"/>
        <v>0</v>
      </c>
      <c r="Q111" s="50"/>
      <c r="R111" s="50"/>
      <c r="S111" s="50"/>
      <c r="T111" s="50"/>
      <c r="U111" s="50"/>
      <c r="V111" s="50"/>
      <c r="W111" s="50"/>
      <c r="X111" s="50"/>
      <c r="Y111" s="50"/>
      <c r="Z111" s="50"/>
    </row>
    <row r="112" spans="1:26" ht="15.75" customHeight="1" x14ac:dyDescent="0.35">
      <c r="A112" s="50"/>
      <c r="B112" s="53" t="s">
        <v>158</v>
      </c>
      <c r="C112" s="116" t="s">
        <v>94</v>
      </c>
      <c r="D112" s="193">
        <f t="shared" ref="D112:F112" si="32">(D36*100%)/D$92</f>
        <v>0</v>
      </c>
      <c r="E112" s="193">
        <f t="shared" si="32"/>
        <v>0</v>
      </c>
      <c r="F112" s="193">
        <f t="shared" si="32"/>
        <v>0</v>
      </c>
      <c r="G112" s="49">
        <f t="shared" ref="G112:P112" si="33">F112*(1+$D$11)</f>
        <v>0</v>
      </c>
      <c r="H112" s="49">
        <f t="shared" si="33"/>
        <v>0</v>
      </c>
      <c r="I112" s="49">
        <f t="shared" si="33"/>
        <v>0</v>
      </c>
      <c r="J112" s="49">
        <f t="shared" si="33"/>
        <v>0</v>
      </c>
      <c r="K112" s="49">
        <f t="shared" si="33"/>
        <v>0</v>
      </c>
      <c r="L112" s="49">
        <f t="shared" si="33"/>
        <v>0</v>
      </c>
      <c r="M112" s="49">
        <f t="shared" si="33"/>
        <v>0</v>
      </c>
      <c r="N112" s="49">
        <f t="shared" si="33"/>
        <v>0</v>
      </c>
      <c r="O112" s="49">
        <f t="shared" si="33"/>
        <v>0</v>
      </c>
      <c r="P112" s="117">
        <f t="shared" si="33"/>
        <v>0</v>
      </c>
      <c r="Q112" s="50"/>
      <c r="R112" s="50"/>
      <c r="S112" s="50"/>
      <c r="T112" s="50"/>
      <c r="U112" s="50"/>
      <c r="V112" s="50"/>
      <c r="W112" s="50"/>
      <c r="X112" s="50"/>
      <c r="Y112" s="50"/>
      <c r="Z112" s="50"/>
    </row>
    <row r="113" spans="1:26" ht="15.75" customHeight="1" x14ac:dyDescent="0.35">
      <c r="A113" s="32"/>
      <c r="B113" s="58" t="s">
        <v>65</v>
      </c>
      <c r="C113" s="32"/>
      <c r="D113" s="118">
        <f t="shared" ref="D113:P113" si="34">SUM(D99:D112)</f>
        <v>4613057.561615075</v>
      </c>
      <c r="E113" s="118">
        <f t="shared" si="34"/>
        <v>4298818.5931743542</v>
      </c>
      <c r="F113" s="118">
        <f t="shared" si="34"/>
        <v>4545025.4628108758</v>
      </c>
      <c r="G113" s="118">
        <f t="shared" si="34"/>
        <v>4750006.1111836471</v>
      </c>
      <c r="H113" s="118">
        <f t="shared" si="34"/>
        <v>4964231.386798027</v>
      </c>
      <c r="I113" s="118">
        <f t="shared" si="34"/>
        <v>5188118.2223426187</v>
      </c>
      <c r="J113" s="118">
        <f t="shared" si="34"/>
        <v>5422102.3541702721</v>
      </c>
      <c r="K113" s="118">
        <f t="shared" si="34"/>
        <v>5666639.1703433497</v>
      </c>
      <c r="L113" s="118">
        <f t="shared" si="34"/>
        <v>5922204.5969258342</v>
      </c>
      <c r="M113" s="118">
        <f t="shared" si="34"/>
        <v>6189296.0242471881</v>
      </c>
      <c r="N113" s="118">
        <f t="shared" si="34"/>
        <v>6468433.2749407366</v>
      </c>
      <c r="O113" s="118">
        <f t="shared" si="34"/>
        <v>6760159.6156405648</v>
      </c>
      <c r="P113" s="119">
        <f t="shared" si="34"/>
        <v>7065042.8143059528</v>
      </c>
      <c r="Q113" s="32"/>
      <c r="R113" s="32"/>
      <c r="S113" s="32"/>
      <c r="T113" s="32"/>
      <c r="U113" s="32"/>
      <c r="V113" s="32"/>
      <c r="W113" s="32"/>
      <c r="X113" s="32"/>
      <c r="Y113" s="32"/>
      <c r="Z113" s="32"/>
    </row>
    <row r="114" spans="1:26" ht="15.75" customHeight="1" x14ac:dyDescent="0.35">
      <c r="A114" s="50"/>
      <c r="B114" s="62" t="s">
        <v>216</v>
      </c>
      <c r="C114" s="50"/>
      <c r="D114" s="125"/>
      <c r="E114" s="125"/>
      <c r="F114" s="125"/>
      <c r="G114" s="126"/>
      <c r="H114" s="126"/>
      <c r="I114" s="126"/>
      <c r="J114" s="126"/>
      <c r="K114" s="126"/>
      <c r="L114" s="126"/>
      <c r="M114" s="126"/>
      <c r="N114" s="126"/>
      <c r="O114" s="126"/>
      <c r="P114" s="127"/>
      <c r="Q114" s="50"/>
      <c r="R114" s="50"/>
      <c r="S114" s="50"/>
      <c r="T114" s="50"/>
      <c r="U114" s="50"/>
      <c r="V114" s="50"/>
      <c r="W114" s="50"/>
      <c r="X114" s="50"/>
      <c r="Y114" s="50"/>
      <c r="Z114" s="50"/>
    </row>
    <row r="115" spans="1:26" ht="15.75" customHeight="1" x14ac:dyDescent="0.35">
      <c r="A115" s="50"/>
      <c r="B115" s="53" t="s">
        <v>145</v>
      </c>
      <c r="C115" s="50"/>
      <c r="D115" s="125">
        <f t="shared" ref="D115:F115" si="35">D56</f>
        <v>22.00950283453648</v>
      </c>
      <c r="E115" s="125">
        <f t="shared" si="35"/>
        <v>21.369763504287508</v>
      </c>
      <c r="F115" s="125">
        <f t="shared" si="35"/>
        <v>21.334414161773729</v>
      </c>
      <c r="G115" s="126">
        <f t="shared" ref="G115:P115" si="36">F115*(1+$D$12)</f>
        <v>21.547758303391468</v>
      </c>
      <c r="H115" s="126">
        <f t="shared" si="36"/>
        <v>21.763235886425385</v>
      </c>
      <c r="I115" s="126">
        <f t="shared" si="36"/>
        <v>21.980868245289638</v>
      </c>
      <c r="J115" s="126">
        <f t="shared" si="36"/>
        <v>22.200676927742535</v>
      </c>
      <c r="K115" s="126">
        <f t="shared" si="36"/>
        <v>22.422683697019959</v>
      </c>
      <c r="L115" s="126">
        <f t="shared" si="36"/>
        <v>22.646910533990159</v>
      </c>
      <c r="M115" s="126">
        <f t="shared" si="36"/>
        <v>22.873379639330061</v>
      </c>
      <c r="N115" s="126">
        <f t="shared" si="36"/>
        <v>23.102113435723361</v>
      </c>
      <c r="O115" s="126">
        <f t="shared" si="36"/>
        <v>23.333134570080595</v>
      </c>
      <c r="P115" s="127">
        <f t="shared" si="36"/>
        <v>23.5664659157814</v>
      </c>
      <c r="Q115" s="50"/>
      <c r="R115" s="50"/>
      <c r="S115" s="50"/>
      <c r="T115" s="50"/>
      <c r="U115" s="50"/>
      <c r="V115" s="50"/>
      <c r="W115" s="50"/>
      <c r="X115" s="50"/>
      <c r="Y115" s="50"/>
      <c r="Z115" s="50"/>
    </row>
    <row r="116" spans="1:26" ht="15.75" customHeight="1" x14ac:dyDescent="0.35">
      <c r="A116" s="50"/>
      <c r="B116" s="53" t="s">
        <v>146</v>
      </c>
      <c r="C116" s="50"/>
      <c r="D116" s="125">
        <f t="shared" ref="D116:F116" si="37">D57</f>
        <v>112.79949077021006</v>
      </c>
      <c r="E116" s="125">
        <f t="shared" si="37"/>
        <v>112.8</v>
      </c>
      <c r="F116" s="125">
        <f t="shared" si="37"/>
        <v>112.80000000000001</v>
      </c>
      <c r="G116" s="126">
        <f t="shared" ref="G116:P116" si="38">F116*(1+$D$12)</f>
        <v>113.92800000000001</v>
      </c>
      <c r="H116" s="126">
        <f t="shared" si="38"/>
        <v>115.06728000000001</v>
      </c>
      <c r="I116" s="126">
        <f t="shared" si="38"/>
        <v>116.21795280000001</v>
      </c>
      <c r="J116" s="126">
        <f t="shared" si="38"/>
        <v>117.380132328</v>
      </c>
      <c r="K116" s="126">
        <f t="shared" si="38"/>
        <v>118.55393365128</v>
      </c>
      <c r="L116" s="126">
        <f t="shared" si="38"/>
        <v>119.73947298779281</v>
      </c>
      <c r="M116" s="126">
        <f t="shared" si="38"/>
        <v>120.93686771767074</v>
      </c>
      <c r="N116" s="126">
        <f t="shared" si="38"/>
        <v>122.14623639484745</v>
      </c>
      <c r="O116" s="126">
        <f t="shared" si="38"/>
        <v>123.36769875879592</v>
      </c>
      <c r="P116" s="127">
        <f t="shared" si="38"/>
        <v>124.60137574638388</v>
      </c>
      <c r="Q116" s="50"/>
      <c r="R116" s="50"/>
      <c r="S116" s="50"/>
      <c r="T116" s="50"/>
      <c r="U116" s="50"/>
      <c r="V116" s="50"/>
      <c r="W116" s="50"/>
      <c r="X116" s="50"/>
      <c r="Y116" s="50"/>
      <c r="Z116" s="50"/>
    </row>
    <row r="117" spans="1:26" ht="15.75" customHeight="1" x14ac:dyDescent="0.35">
      <c r="A117" s="50"/>
      <c r="B117" s="53" t="s">
        <v>147</v>
      </c>
      <c r="C117" s="50"/>
      <c r="D117" s="125">
        <f t="shared" ref="D117:F117" si="39">D58</f>
        <v>439.34976525821594</v>
      </c>
      <c r="E117" s="125">
        <f t="shared" si="39"/>
        <v>530.77083333333337</v>
      </c>
      <c r="F117" s="125">
        <f t="shared" si="39"/>
        <v>535.77374071015686</v>
      </c>
      <c r="G117" s="126">
        <f t="shared" ref="G117:P117" si="40">F117*(1+$D$12)</f>
        <v>541.13147811725844</v>
      </c>
      <c r="H117" s="126">
        <f t="shared" si="40"/>
        <v>546.542792898431</v>
      </c>
      <c r="I117" s="126">
        <f t="shared" si="40"/>
        <v>552.00822082741536</v>
      </c>
      <c r="J117" s="126">
        <f t="shared" si="40"/>
        <v>557.52830303568953</v>
      </c>
      <c r="K117" s="126">
        <f t="shared" si="40"/>
        <v>563.10358606604643</v>
      </c>
      <c r="L117" s="126">
        <f t="shared" si="40"/>
        <v>568.73462192670695</v>
      </c>
      <c r="M117" s="126">
        <f t="shared" si="40"/>
        <v>574.42196814597401</v>
      </c>
      <c r="N117" s="126">
        <f t="shared" si="40"/>
        <v>580.16618782743376</v>
      </c>
      <c r="O117" s="126">
        <f t="shared" si="40"/>
        <v>585.96784970570809</v>
      </c>
      <c r="P117" s="127">
        <f t="shared" si="40"/>
        <v>591.82752820276517</v>
      </c>
      <c r="Q117" s="50"/>
      <c r="R117" s="50"/>
      <c r="S117" s="50"/>
      <c r="T117" s="50"/>
      <c r="U117" s="50"/>
      <c r="V117" s="50"/>
      <c r="W117" s="50"/>
      <c r="X117" s="50"/>
      <c r="Y117" s="50"/>
      <c r="Z117" s="50"/>
    </row>
    <row r="118" spans="1:26" ht="15.75" customHeight="1" x14ac:dyDescent="0.35">
      <c r="A118" s="50"/>
      <c r="B118" s="53" t="s">
        <v>148</v>
      </c>
      <c r="C118" s="54"/>
      <c r="D118" s="125">
        <f t="shared" ref="D118:F118" si="41">D59</f>
        <v>0</v>
      </c>
      <c r="E118" s="125">
        <f t="shared" si="41"/>
        <v>0</v>
      </c>
      <c r="F118" s="125">
        <f t="shared" si="41"/>
        <v>1065</v>
      </c>
      <c r="G118" s="126">
        <f t="shared" ref="G118:P118" si="42">F118*(1+$D$12)</f>
        <v>1075.6500000000001</v>
      </c>
      <c r="H118" s="126">
        <f t="shared" si="42"/>
        <v>1086.4065000000001</v>
      </c>
      <c r="I118" s="126">
        <f t="shared" si="42"/>
        <v>1097.270565</v>
      </c>
      <c r="J118" s="126">
        <f t="shared" si="42"/>
        <v>1108.2432706500001</v>
      </c>
      <c r="K118" s="126">
        <f t="shared" si="42"/>
        <v>1119.3257033565001</v>
      </c>
      <c r="L118" s="126">
        <f t="shared" si="42"/>
        <v>1130.5189603900651</v>
      </c>
      <c r="M118" s="126">
        <f t="shared" si="42"/>
        <v>1141.8241499939659</v>
      </c>
      <c r="N118" s="126">
        <f t="shared" si="42"/>
        <v>1153.2423914939056</v>
      </c>
      <c r="O118" s="126">
        <f t="shared" si="42"/>
        <v>1164.7748154088447</v>
      </c>
      <c r="P118" s="127">
        <f t="shared" si="42"/>
        <v>1176.4225635629332</v>
      </c>
      <c r="Q118" s="50"/>
      <c r="R118" s="50"/>
      <c r="S118" s="50"/>
      <c r="T118" s="50"/>
      <c r="U118" s="50"/>
      <c r="V118" s="50"/>
      <c r="W118" s="50"/>
      <c r="X118" s="50"/>
      <c r="Y118" s="50"/>
      <c r="Z118" s="50"/>
    </row>
    <row r="119" spans="1:26" ht="15.75" customHeight="1" x14ac:dyDescent="0.35">
      <c r="A119" s="50"/>
      <c r="B119" s="53" t="s">
        <v>149</v>
      </c>
      <c r="C119" s="65"/>
      <c r="D119" s="125">
        <f t="shared" ref="D119:F119" si="43">D60</f>
        <v>461.60645161290324</v>
      </c>
      <c r="E119" s="125">
        <f t="shared" si="43"/>
        <v>464.02967359050444</v>
      </c>
      <c r="F119" s="125">
        <f t="shared" si="43"/>
        <v>471.95698924731181</v>
      </c>
      <c r="G119" s="126">
        <f t="shared" ref="G119:P119" si="44">F119*(1+$D$12)</f>
        <v>476.67655913978496</v>
      </c>
      <c r="H119" s="126">
        <f t="shared" si="44"/>
        <v>481.44332473118283</v>
      </c>
      <c r="I119" s="126">
        <f t="shared" si="44"/>
        <v>486.25775797849468</v>
      </c>
      <c r="J119" s="126">
        <f t="shared" si="44"/>
        <v>491.12033555827963</v>
      </c>
      <c r="K119" s="126">
        <f t="shared" si="44"/>
        <v>496.03153891386245</v>
      </c>
      <c r="L119" s="126">
        <f t="shared" si="44"/>
        <v>500.99185430300111</v>
      </c>
      <c r="M119" s="126">
        <f t="shared" si="44"/>
        <v>506.00177284603114</v>
      </c>
      <c r="N119" s="126">
        <f t="shared" si="44"/>
        <v>511.06179057449145</v>
      </c>
      <c r="O119" s="126">
        <f t="shared" si="44"/>
        <v>516.17240848023641</v>
      </c>
      <c r="P119" s="127">
        <f t="shared" si="44"/>
        <v>521.33413256503877</v>
      </c>
      <c r="Q119" s="50"/>
      <c r="R119" s="50"/>
      <c r="S119" s="50"/>
      <c r="T119" s="50"/>
      <c r="U119" s="50"/>
      <c r="V119" s="50"/>
      <c r="W119" s="50"/>
      <c r="X119" s="50"/>
      <c r="Y119" s="50"/>
      <c r="Z119" s="50"/>
    </row>
    <row r="120" spans="1:26" ht="15.75" customHeight="1" x14ac:dyDescent="0.35">
      <c r="A120" s="50"/>
      <c r="B120" s="53" t="s">
        <v>198</v>
      </c>
      <c r="C120" s="116"/>
      <c r="D120" s="125">
        <f t="shared" ref="D120:F120" si="45">D61</f>
        <v>45.514846962083141</v>
      </c>
      <c r="E120" s="125">
        <f t="shared" si="45"/>
        <v>44.651851851851852</v>
      </c>
      <c r="F120" s="125">
        <f t="shared" si="45"/>
        <v>44.143712574850298</v>
      </c>
      <c r="G120" s="126">
        <f t="shared" ref="G120:P120" si="46">F120*(1+$D$12)</f>
        <v>44.585149700598798</v>
      </c>
      <c r="H120" s="126">
        <f t="shared" si="46"/>
        <v>45.031001197604787</v>
      </c>
      <c r="I120" s="126">
        <f t="shared" si="46"/>
        <v>45.481311209580838</v>
      </c>
      <c r="J120" s="126">
        <f t="shared" si="46"/>
        <v>45.936124321676644</v>
      </c>
      <c r="K120" s="126">
        <f t="shared" si="46"/>
        <v>46.395485564893413</v>
      </c>
      <c r="L120" s="126">
        <f t="shared" si="46"/>
        <v>46.859440420542349</v>
      </c>
      <c r="M120" s="126">
        <f t="shared" si="46"/>
        <v>47.328034824747775</v>
      </c>
      <c r="N120" s="126">
        <f t="shared" si="46"/>
        <v>47.801315172995253</v>
      </c>
      <c r="O120" s="126">
        <f t="shared" si="46"/>
        <v>48.279328324725206</v>
      </c>
      <c r="P120" s="127">
        <f t="shared" si="46"/>
        <v>48.76212160797246</v>
      </c>
      <c r="Q120" s="50"/>
      <c r="R120" s="50"/>
      <c r="S120" s="50"/>
      <c r="T120" s="50"/>
      <c r="U120" s="50"/>
      <c r="V120" s="50"/>
      <c r="W120" s="50"/>
      <c r="X120" s="50"/>
      <c r="Y120" s="50"/>
      <c r="Z120" s="50"/>
    </row>
    <row r="121" spans="1:26" ht="15.75" customHeight="1" x14ac:dyDescent="0.35">
      <c r="A121" s="50"/>
      <c r="B121" s="53" t="s">
        <v>199</v>
      </c>
      <c r="C121" s="116"/>
      <c r="D121" s="125">
        <f t="shared" ref="D121:F121" si="47">D62</f>
        <v>55.358974358974358</v>
      </c>
      <c r="E121" s="125">
        <f t="shared" si="47"/>
        <v>55.851851851851848</v>
      </c>
      <c r="F121" s="125">
        <f t="shared" si="47"/>
        <v>57.621428571428567</v>
      </c>
      <c r="G121" s="126">
        <f t="shared" ref="G121:P121" si="48">F121*(1+$D$12)</f>
        <v>58.197642857142853</v>
      </c>
      <c r="H121" s="126">
        <f t="shared" si="48"/>
        <v>58.779619285714283</v>
      </c>
      <c r="I121" s="126">
        <f t="shared" si="48"/>
        <v>59.367415478571424</v>
      </c>
      <c r="J121" s="126">
        <f t="shared" si="48"/>
        <v>59.96108963335714</v>
      </c>
      <c r="K121" s="126">
        <f t="shared" si="48"/>
        <v>60.560700529690713</v>
      </c>
      <c r="L121" s="126">
        <f t="shared" si="48"/>
        <v>61.166307534987624</v>
      </c>
      <c r="M121" s="126">
        <f t="shared" si="48"/>
        <v>61.777970610337498</v>
      </c>
      <c r="N121" s="126">
        <f t="shared" si="48"/>
        <v>62.395750316440875</v>
      </c>
      <c r="O121" s="126">
        <f t="shared" si="48"/>
        <v>63.019707819605287</v>
      </c>
      <c r="P121" s="127">
        <f t="shared" si="48"/>
        <v>63.649904897801342</v>
      </c>
      <c r="Q121" s="50"/>
      <c r="R121" s="50"/>
      <c r="S121" s="50"/>
      <c r="T121" s="50"/>
      <c r="U121" s="50"/>
      <c r="V121" s="50"/>
      <c r="W121" s="50"/>
      <c r="X121" s="50"/>
      <c r="Y121" s="50"/>
      <c r="Z121" s="50"/>
    </row>
    <row r="122" spans="1:26" ht="15.75" customHeight="1" x14ac:dyDescent="0.35">
      <c r="A122" s="50"/>
      <c r="B122" s="53" t="s">
        <v>152</v>
      </c>
      <c r="C122" s="116"/>
      <c r="D122" s="125">
        <f t="shared" ref="D122:F122" si="49">D63</f>
        <v>17.264650283553877</v>
      </c>
      <c r="E122" s="125">
        <f t="shared" si="49"/>
        <v>16.12676056338028</v>
      </c>
      <c r="F122" s="125">
        <f t="shared" si="49"/>
        <v>18.578947368421051</v>
      </c>
      <c r="G122" s="126">
        <f t="shared" ref="G122:P122" si="50">F122*(1+$D$12)</f>
        <v>18.764736842105261</v>
      </c>
      <c r="H122" s="126">
        <f t="shared" si="50"/>
        <v>18.952384210526315</v>
      </c>
      <c r="I122" s="126">
        <f t="shared" si="50"/>
        <v>19.141908052631578</v>
      </c>
      <c r="J122" s="126">
        <f t="shared" si="50"/>
        <v>19.333327133157894</v>
      </c>
      <c r="K122" s="126">
        <f t="shared" si="50"/>
        <v>19.526660404489473</v>
      </c>
      <c r="L122" s="126">
        <f t="shared" si="50"/>
        <v>19.721927008534369</v>
      </c>
      <c r="M122" s="126">
        <f t="shared" si="50"/>
        <v>19.919146278619714</v>
      </c>
      <c r="N122" s="126">
        <f t="shared" si="50"/>
        <v>20.118337741405909</v>
      </c>
      <c r="O122" s="126">
        <f t="shared" si="50"/>
        <v>20.319521118819967</v>
      </c>
      <c r="P122" s="127">
        <f t="shared" si="50"/>
        <v>20.522716330008166</v>
      </c>
      <c r="Q122" s="50"/>
      <c r="R122" s="50"/>
      <c r="S122" s="50"/>
      <c r="T122" s="50"/>
      <c r="U122" s="50"/>
      <c r="V122" s="50"/>
      <c r="W122" s="50"/>
      <c r="X122" s="50"/>
      <c r="Y122" s="50"/>
      <c r="Z122" s="50"/>
    </row>
    <row r="123" spans="1:26" ht="15.75" customHeight="1" x14ac:dyDescent="0.35">
      <c r="A123" s="50"/>
      <c r="B123" s="53" t="s">
        <v>153</v>
      </c>
      <c r="C123" s="116"/>
      <c r="D123" s="125">
        <f t="shared" ref="D123:F123" si="51">D64</f>
        <v>20.282964665326055</v>
      </c>
      <c r="E123" s="125">
        <f t="shared" si="51"/>
        <v>18.234226447709595</v>
      </c>
      <c r="F123" s="125">
        <f t="shared" si="51"/>
        <v>16</v>
      </c>
      <c r="G123" s="126">
        <f t="shared" ref="G123:P123" si="52">F123*(1+$D$12)</f>
        <v>16.16</v>
      </c>
      <c r="H123" s="126">
        <f t="shared" si="52"/>
        <v>16.3216</v>
      </c>
      <c r="I123" s="126">
        <f t="shared" si="52"/>
        <v>16.484815999999999</v>
      </c>
      <c r="J123" s="126">
        <f t="shared" si="52"/>
        <v>16.64966416</v>
      </c>
      <c r="K123" s="126">
        <f t="shared" si="52"/>
        <v>16.816160801599999</v>
      </c>
      <c r="L123" s="126">
        <f t="shared" si="52"/>
        <v>16.984322409615999</v>
      </c>
      <c r="M123" s="126">
        <f t="shared" si="52"/>
        <v>17.154165633712157</v>
      </c>
      <c r="N123" s="126">
        <f t="shared" si="52"/>
        <v>17.32570729004928</v>
      </c>
      <c r="O123" s="126">
        <f t="shared" si="52"/>
        <v>17.498964362949774</v>
      </c>
      <c r="P123" s="127">
        <f t="shared" si="52"/>
        <v>17.673954006579272</v>
      </c>
      <c r="Q123" s="50"/>
      <c r="R123" s="50"/>
      <c r="S123" s="50"/>
      <c r="T123" s="50"/>
      <c r="U123" s="50"/>
      <c r="V123" s="50"/>
      <c r="W123" s="50"/>
      <c r="X123" s="50"/>
      <c r="Y123" s="50"/>
      <c r="Z123" s="50"/>
    </row>
    <row r="124" spans="1:26" ht="15.75" customHeight="1" x14ac:dyDescent="0.35">
      <c r="A124" s="50"/>
      <c r="B124" s="53" t="s">
        <v>154</v>
      </c>
      <c r="C124" s="116"/>
      <c r="D124" s="125">
        <f t="shared" ref="D124:F124" si="53">D65</f>
        <v>0</v>
      </c>
      <c r="E124" s="125">
        <f t="shared" si="53"/>
        <v>0</v>
      </c>
      <c r="F124" s="125">
        <f t="shared" si="53"/>
        <v>0</v>
      </c>
      <c r="G124" s="126">
        <f t="shared" ref="G124:P124" si="54">F124*(1+$D$12)</f>
        <v>0</v>
      </c>
      <c r="H124" s="126">
        <f t="shared" si="54"/>
        <v>0</v>
      </c>
      <c r="I124" s="126">
        <f t="shared" si="54"/>
        <v>0</v>
      </c>
      <c r="J124" s="126">
        <f t="shared" si="54"/>
        <v>0</v>
      </c>
      <c r="K124" s="126">
        <f t="shared" si="54"/>
        <v>0</v>
      </c>
      <c r="L124" s="126">
        <f t="shared" si="54"/>
        <v>0</v>
      </c>
      <c r="M124" s="126">
        <f t="shared" si="54"/>
        <v>0</v>
      </c>
      <c r="N124" s="126">
        <f t="shared" si="54"/>
        <v>0</v>
      </c>
      <c r="O124" s="126">
        <f t="shared" si="54"/>
        <v>0</v>
      </c>
      <c r="P124" s="127">
        <f t="shared" si="54"/>
        <v>0</v>
      </c>
      <c r="Q124" s="50"/>
      <c r="R124" s="50"/>
      <c r="S124" s="50"/>
      <c r="T124" s="50"/>
      <c r="U124" s="50"/>
      <c r="V124" s="50"/>
      <c r="W124" s="50"/>
      <c r="X124" s="50"/>
      <c r="Y124" s="50"/>
      <c r="Z124" s="50"/>
    </row>
    <row r="125" spans="1:26" ht="15.75" customHeight="1" x14ac:dyDescent="0.35">
      <c r="A125" s="50"/>
      <c r="B125" s="53" t="s">
        <v>155</v>
      </c>
      <c r="C125" s="116"/>
      <c r="D125" s="125">
        <f t="shared" ref="D125:F125" si="55">D66</f>
        <v>0</v>
      </c>
      <c r="E125" s="125">
        <f t="shared" si="55"/>
        <v>0</v>
      </c>
      <c r="F125" s="125">
        <f t="shared" si="55"/>
        <v>0</v>
      </c>
      <c r="G125" s="126">
        <f t="shared" ref="G125:P125" si="56">F125*(1+$D$12)</f>
        <v>0</v>
      </c>
      <c r="H125" s="126">
        <f t="shared" si="56"/>
        <v>0</v>
      </c>
      <c r="I125" s="126">
        <f t="shared" si="56"/>
        <v>0</v>
      </c>
      <c r="J125" s="126">
        <f t="shared" si="56"/>
        <v>0</v>
      </c>
      <c r="K125" s="126">
        <f t="shared" si="56"/>
        <v>0</v>
      </c>
      <c r="L125" s="126">
        <f t="shared" si="56"/>
        <v>0</v>
      </c>
      <c r="M125" s="126">
        <f t="shared" si="56"/>
        <v>0</v>
      </c>
      <c r="N125" s="126">
        <f t="shared" si="56"/>
        <v>0</v>
      </c>
      <c r="O125" s="126">
        <f t="shared" si="56"/>
        <v>0</v>
      </c>
      <c r="P125" s="127">
        <f t="shared" si="56"/>
        <v>0</v>
      </c>
      <c r="Q125" s="50"/>
      <c r="R125" s="50"/>
      <c r="S125" s="50"/>
      <c r="T125" s="50"/>
      <c r="U125" s="50"/>
      <c r="V125" s="50"/>
      <c r="W125" s="50"/>
      <c r="X125" s="50"/>
      <c r="Y125" s="50"/>
      <c r="Z125" s="50"/>
    </row>
    <row r="126" spans="1:26" ht="15.75" customHeight="1" x14ac:dyDescent="0.35">
      <c r="A126" s="50"/>
      <c r="B126" s="53" t="s">
        <v>156</v>
      </c>
      <c r="C126" s="116"/>
      <c r="D126" s="125">
        <f t="shared" ref="D126:F126" si="57">D67</f>
        <v>0</v>
      </c>
      <c r="E126" s="125">
        <f t="shared" si="57"/>
        <v>17.134328358208954</v>
      </c>
      <c r="F126" s="125">
        <f t="shared" si="57"/>
        <v>0</v>
      </c>
      <c r="G126" s="126">
        <f t="shared" ref="G126:P126" si="58">F126*(1+$D$12)</f>
        <v>0</v>
      </c>
      <c r="H126" s="126">
        <f t="shared" si="58"/>
        <v>0</v>
      </c>
      <c r="I126" s="126">
        <f t="shared" si="58"/>
        <v>0</v>
      </c>
      <c r="J126" s="126">
        <f t="shared" si="58"/>
        <v>0</v>
      </c>
      <c r="K126" s="126">
        <f t="shared" si="58"/>
        <v>0</v>
      </c>
      <c r="L126" s="126">
        <f t="shared" si="58"/>
        <v>0</v>
      </c>
      <c r="M126" s="126">
        <f t="shared" si="58"/>
        <v>0</v>
      </c>
      <c r="N126" s="126">
        <f t="shared" si="58"/>
        <v>0</v>
      </c>
      <c r="O126" s="126">
        <f t="shared" si="58"/>
        <v>0</v>
      </c>
      <c r="P126" s="127">
        <f t="shared" si="58"/>
        <v>0</v>
      </c>
      <c r="Q126" s="50"/>
      <c r="R126" s="50"/>
      <c r="S126" s="50"/>
      <c r="T126" s="50"/>
      <c r="U126" s="50"/>
      <c r="V126" s="50"/>
      <c r="W126" s="50"/>
      <c r="X126" s="50"/>
      <c r="Y126" s="50"/>
      <c r="Z126" s="50"/>
    </row>
    <row r="127" spans="1:26" ht="15.75" customHeight="1" x14ac:dyDescent="0.35">
      <c r="A127" s="50"/>
      <c r="B127" s="161" t="s">
        <v>96</v>
      </c>
      <c r="C127" s="194"/>
      <c r="D127" s="125">
        <f t="shared" ref="D127:F127" si="59">D68</f>
        <v>0</v>
      </c>
      <c r="E127" s="125">
        <f t="shared" si="59"/>
        <v>0</v>
      </c>
      <c r="F127" s="125">
        <f t="shared" si="59"/>
        <v>0</v>
      </c>
      <c r="G127" s="126">
        <f t="shared" ref="G127:P127" si="60">F127*(1+$D$12)</f>
        <v>0</v>
      </c>
      <c r="H127" s="126">
        <f t="shared" si="60"/>
        <v>0</v>
      </c>
      <c r="I127" s="126">
        <f t="shared" si="60"/>
        <v>0</v>
      </c>
      <c r="J127" s="126">
        <f t="shared" si="60"/>
        <v>0</v>
      </c>
      <c r="K127" s="126">
        <f t="shared" si="60"/>
        <v>0</v>
      </c>
      <c r="L127" s="126">
        <f t="shared" si="60"/>
        <v>0</v>
      </c>
      <c r="M127" s="126">
        <f t="shared" si="60"/>
        <v>0</v>
      </c>
      <c r="N127" s="126">
        <f t="shared" si="60"/>
        <v>0</v>
      </c>
      <c r="O127" s="126">
        <f t="shared" si="60"/>
        <v>0</v>
      </c>
      <c r="P127" s="127">
        <f t="shared" si="60"/>
        <v>0</v>
      </c>
      <c r="Q127" s="50"/>
      <c r="R127" s="50"/>
      <c r="S127" s="50"/>
      <c r="T127" s="50"/>
      <c r="U127" s="50"/>
      <c r="V127" s="50"/>
      <c r="W127" s="50"/>
      <c r="X127" s="50"/>
      <c r="Y127" s="50"/>
      <c r="Z127" s="50"/>
    </row>
    <row r="128" spans="1:26" ht="15.75" customHeight="1" x14ac:dyDescent="0.35">
      <c r="A128" s="50"/>
      <c r="B128" s="53" t="s">
        <v>158</v>
      </c>
      <c r="C128" s="65"/>
      <c r="D128" s="125">
        <f t="shared" ref="D128:F128" si="61">D69</f>
        <v>0</v>
      </c>
      <c r="E128" s="125">
        <f t="shared" si="61"/>
        <v>0</v>
      </c>
      <c r="F128" s="125">
        <f t="shared" si="61"/>
        <v>0</v>
      </c>
      <c r="G128" s="126">
        <f t="shared" ref="G128:P128" si="62">F128*(1+$D$12)</f>
        <v>0</v>
      </c>
      <c r="H128" s="126">
        <f t="shared" si="62"/>
        <v>0</v>
      </c>
      <c r="I128" s="126">
        <f t="shared" si="62"/>
        <v>0</v>
      </c>
      <c r="J128" s="126">
        <f t="shared" si="62"/>
        <v>0</v>
      </c>
      <c r="K128" s="126">
        <f t="shared" si="62"/>
        <v>0</v>
      </c>
      <c r="L128" s="126">
        <f t="shared" si="62"/>
        <v>0</v>
      </c>
      <c r="M128" s="126">
        <f t="shared" si="62"/>
        <v>0</v>
      </c>
      <c r="N128" s="126">
        <f t="shared" si="62"/>
        <v>0</v>
      </c>
      <c r="O128" s="126">
        <f t="shared" si="62"/>
        <v>0</v>
      </c>
      <c r="P128" s="127">
        <f t="shared" si="62"/>
        <v>0</v>
      </c>
      <c r="Q128" s="50"/>
      <c r="R128" s="50"/>
      <c r="S128" s="50"/>
      <c r="T128" s="50"/>
      <c r="U128" s="50"/>
      <c r="V128" s="50"/>
      <c r="W128" s="50"/>
      <c r="X128" s="50"/>
      <c r="Y128" s="50"/>
      <c r="Z128" s="50"/>
    </row>
    <row r="129" spans="1:26" ht="15.75" customHeight="1" x14ac:dyDescent="0.35">
      <c r="A129" s="50"/>
      <c r="B129" s="53"/>
      <c r="C129" s="65"/>
      <c r="D129" s="125"/>
      <c r="E129" s="125"/>
      <c r="F129" s="125"/>
      <c r="G129" s="126"/>
      <c r="H129" s="126"/>
      <c r="I129" s="126"/>
      <c r="J129" s="126"/>
      <c r="K129" s="126"/>
      <c r="L129" s="126"/>
      <c r="M129" s="126"/>
      <c r="N129" s="126"/>
      <c r="O129" s="126"/>
      <c r="P129" s="127"/>
      <c r="Q129" s="50"/>
      <c r="R129" s="50"/>
      <c r="S129" s="50"/>
      <c r="T129" s="50"/>
      <c r="U129" s="50"/>
      <c r="V129" s="50"/>
      <c r="W129" s="50"/>
      <c r="X129" s="50"/>
      <c r="Y129" s="50"/>
      <c r="Z129" s="50"/>
    </row>
    <row r="130" spans="1:26" ht="15.75" customHeight="1" x14ac:dyDescent="0.35">
      <c r="A130" s="50"/>
      <c r="B130" s="46" t="s">
        <v>217</v>
      </c>
      <c r="C130" s="65"/>
      <c r="D130" s="125"/>
      <c r="E130" s="125"/>
      <c r="F130" s="125"/>
      <c r="G130" s="126"/>
      <c r="H130" s="126"/>
      <c r="I130" s="126"/>
      <c r="J130" s="126"/>
      <c r="K130" s="126"/>
      <c r="L130" s="126"/>
      <c r="M130" s="126"/>
      <c r="N130" s="126"/>
      <c r="O130" s="126"/>
      <c r="P130" s="127"/>
      <c r="Q130" s="50"/>
      <c r="R130" s="50"/>
      <c r="S130" s="50"/>
      <c r="T130" s="50"/>
      <c r="U130" s="50"/>
      <c r="V130" s="50"/>
      <c r="W130" s="50"/>
      <c r="X130" s="50"/>
      <c r="Y130" s="50"/>
      <c r="Z130" s="50"/>
    </row>
    <row r="131" spans="1:26" ht="15.75" customHeight="1" x14ac:dyDescent="0.35">
      <c r="A131" s="50"/>
      <c r="B131" s="53" t="s">
        <v>145</v>
      </c>
      <c r="C131" s="116" t="s">
        <v>94</v>
      </c>
      <c r="D131" s="80">
        <f t="shared" ref="D131:F131" si="63">D23</f>
        <v>24519</v>
      </c>
      <c r="E131" s="80">
        <f t="shared" si="63"/>
        <v>18309</v>
      </c>
      <c r="F131" s="80">
        <f t="shared" si="63"/>
        <v>22822</v>
      </c>
      <c r="G131" s="120">
        <f t="shared" ref="G131:P131" si="64">F131*(1+$D$14)</f>
        <v>23963.100000000002</v>
      </c>
      <c r="H131" s="120">
        <f t="shared" si="64"/>
        <v>25161.255000000005</v>
      </c>
      <c r="I131" s="120">
        <f t="shared" si="64"/>
        <v>26419.317750000006</v>
      </c>
      <c r="J131" s="120">
        <f t="shared" si="64"/>
        <v>27740.283637500008</v>
      </c>
      <c r="K131" s="120">
        <f t="shared" si="64"/>
        <v>29127.29781937501</v>
      </c>
      <c r="L131" s="120">
        <f t="shared" si="64"/>
        <v>30583.66271034376</v>
      </c>
      <c r="M131" s="120">
        <f t="shared" si="64"/>
        <v>32112.845845860949</v>
      </c>
      <c r="N131" s="120">
        <f t="shared" si="64"/>
        <v>33718.488138153996</v>
      </c>
      <c r="O131" s="120">
        <f t="shared" si="64"/>
        <v>35404.412545061699</v>
      </c>
      <c r="P131" s="124">
        <f t="shared" si="64"/>
        <v>37174.633172314789</v>
      </c>
      <c r="Q131" s="50"/>
      <c r="R131" s="50"/>
      <c r="S131" s="50"/>
      <c r="T131" s="50"/>
      <c r="U131" s="50"/>
      <c r="V131" s="50"/>
      <c r="W131" s="50"/>
      <c r="X131" s="50"/>
      <c r="Y131" s="50"/>
      <c r="Z131" s="50"/>
    </row>
    <row r="132" spans="1:26" ht="15.75" customHeight="1" x14ac:dyDescent="0.35">
      <c r="A132" s="50"/>
      <c r="B132" s="53" t="s">
        <v>146</v>
      </c>
      <c r="C132" s="116" t="s">
        <v>94</v>
      </c>
      <c r="D132" s="80">
        <f t="shared" ref="D132:F132" si="65">D24</f>
        <v>1571</v>
      </c>
      <c r="E132" s="80">
        <f t="shared" si="65"/>
        <v>1295</v>
      </c>
      <c r="F132" s="80">
        <f t="shared" si="65"/>
        <v>795</v>
      </c>
      <c r="G132" s="120">
        <f t="shared" ref="G132:P132" si="66">F132*(1+$D$14)</f>
        <v>834.75</v>
      </c>
      <c r="H132" s="120">
        <f t="shared" si="66"/>
        <v>876.48750000000007</v>
      </c>
      <c r="I132" s="120">
        <f t="shared" si="66"/>
        <v>920.3118750000001</v>
      </c>
      <c r="J132" s="120">
        <f t="shared" si="66"/>
        <v>966.32746875000009</v>
      </c>
      <c r="K132" s="120">
        <f t="shared" si="66"/>
        <v>1014.6438421875001</v>
      </c>
      <c r="L132" s="120">
        <f t="shared" si="66"/>
        <v>1065.3760342968751</v>
      </c>
      <c r="M132" s="120">
        <f t="shared" si="66"/>
        <v>1118.644836011719</v>
      </c>
      <c r="N132" s="120">
        <f t="shared" si="66"/>
        <v>1174.5770778123051</v>
      </c>
      <c r="O132" s="120">
        <f t="shared" si="66"/>
        <v>1233.3059317029204</v>
      </c>
      <c r="P132" s="124">
        <f t="shared" si="66"/>
        <v>1294.9712282880664</v>
      </c>
      <c r="Q132" s="50"/>
      <c r="R132" s="50"/>
      <c r="S132" s="50"/>
      <c r="T132" s="50"/>
      <c r="U132" s="50"/>
      <c r="V132" s="50"/>
      <c r="W132" s="50"/>
      <c r="X132" s="50"/>
      <c r="Y132" s="50"/>
      <c r="Z132" s="50"/>
    </row>
    <row r="133" spans="1:26" ht="15.75" customHeight="1" x14ac:dyDescent="0.35">
      <c r="A133" s="50"/>
      <c r="B133" s="53" t="s">
        <v>147</v>
      </c>
      <c r="C133" s="116" t="s">
        <v>94</v>
      </c>
      <c r="D133" s="80">
        <f t="shared" ref="D133:F133" si="67">D25</f>
        <v>852</v>
      </c>
      <c r="E133" s="80">
        <f t="shared" si="67"/>
        <v>1056</v>
      </c>
      <c r="F133" s="80">
        <f t="shared" si="67"/>
        <v>1211</v>
      </c>
      <c r="G133" s="120">
        <f t="shared" ref="G133:P133" si="68">F133*(1+$D$14)</f>
        <v>1271.55</v>
      </c>
      <c r="H133" s="120">
        <f t="shared" si="68"/>
        <v>1335.1275000000001</v>
      </c>
      <c r="I133" s="120">
        <f t="shared" si="68"/>
        <v>1401.8838750000002</v>
      </c>
      <c r="J133" s="120">
        <f t="shared" si="68"/>
        <v>1471.9780687500004</v>
      </c>
      <c r="K133" s="120">
        <f t="shared" si="68"/>
        <v>1545.5769721875004</v>
      </c>
      <c r="L133" s="120">
        <f t="shared" si="68"/>
        <v>1622.8558207968754</v>
      </c>
      <c r="M133" s="120">
        <f t="shared" si="68"/>
        <v>1703.9986118367192</v>
      </c>
      <c r="N133" s="120">
        <f t="shared" si="68"/>
        <v>1789.1985424285551</v>
      </c>
      <c r="O133" s="120">
        <f t="shared" si="68"/>
        <v>1878.658469549983</v>
      </c>
      <c r="P133" s="124">
        <f t="shared" si="68"/>
        <v>1972.5913930274824</v>
      </c>
      <c r="Q133" s="50"/>
      <c r="R133" s="50"/>
      <c r="S133" s="50"/>
      <c r="T133" s="50"/>
      <c r="U133" s="50"/>
      <c r="V133" s="50"/>
      <c r="W133" s="50"/>
      <c r="X133" s="50"/>
      <c r="Y133" s="50"/>
      <c r="Z133" s="50"/>
    </row>
    <row r="134" spans="1:26" ht="15.75" customHeight="1" x14ac:dyDescent="0.35">
      <c r="A134" s="50"/>
      <c r="B134" s="53" t="s">
        <v>148</v>
      </c>
      <c r="C134" s="116" t="s">
        <v>94</v>
      </c>
      <c r="D134" s="80">
        <f t="shared" ref="D134:F134" si="69">D26</f>
        <v>0</v>
      </c>
      <c r="E134" s="80">
        <f t="shared" si="69"/>
        <v>0</v>
      </c>
      <c r="F134" s="80">
        <f t="shared" si="69"/>
        <v>6</v>
      </c>
      <c r="G134" s="120">
        <f t="shared" ref="G134:P134" si="70">F134*(1+$D$14)</f>
        <v>6.3000000000000007</v>
      </c>
      <c r="H134" s="120">
        <f t="shared" si="70"/>
        <v>6.6150000000000011</v>
      </c>
      <c r="I134" s="120">
        <f t="shared" si="70"/>
        <v>6.9457500000000012</v>
      </c>
      <c r="J134" s="120">
        <f t="shared" si="70"/>
        <v>7.2930375000000014</v>
      </c>
      <c r="K134" s="120">
        <f t="shared" si="70"/>
        <v>7.6576893750000021</v>
      </c>
      <c r="L134" s="120">
        <f t="shared" si="70"/>
        <v>8.0405738437500034</v>
      </c>
      <c r="M134" s="120">
        <f t="shared" si="70"/>
        <v>8.4426025359375032</v>
      </c>
      <c r="N134" s="120">
        <f t="shared" si="70"/>
        <v>8.8647326627343794</v>
      </c>
      <c r="O134" s="120">
        <f t="shared" si="70"/>
        <v>9.3079692958710982</v>
      </c>
      <c r="P134" s="124">
        <f t="shared" si="70"/>
        <v>9.7733677606646534</v>
      </c>
      <c r="Q134" s="50"/>
      <c r="R134" s="50"/>
      <c r="S134" s="50"/>
      <c r="T134" s="50"/>
      <c r="U134" s="50"/>
      <c r="V134" s="50"/>
      <c r="W134" s="50"/>
      <c r="X134" s="50"/>
      <c r="Y134" s="50"/>
      <c r="Z134" s="50"/>
    </row>
    <row r="135" spans="1:26" ht="15.75" customHeight="1" x14ac:dyDescent="0.35">
      <c r="A135" s="50"/>
      <c r="B135" s="53" t="s">
        <v>149</v>
      </c>
      <c r="C135" s="116" t="s">
        <v>94</v>
      </c>
      <c r="D135" s="80">
        <f t="shared" ref="D135:F135" si="71">D27</f>
        <v>1085</v>
      </c>
      <c r="E135" s="80">
        <f t="shared" si="71"/>
        <v>1011</v>
      </c>
      <c r="F135" s="80">
        <f t="shared" si="71"/>
        <v>558</v>
      </c>
      <c r="G135" s="120">
        <f t="shared" ref="G135:P135" si="72">F135*(1+$D$14)</f>
        <v>585.9</v>
      </c>
      <c r="H135" s="120">
        <f t="shared" si="72"/>
        <v>615.19500000000005</v>
      </c>
      <c r="I135" s="120">
        <f t="shared" si="72"/>
        <v>645.9547500000001</v>
      </c>
      <c r="J135" s="120">
        <f t="shared" si="72"/>
        <v>678.25248750000014</v>
      </c>
      <c r="K135" s="120">
        <f t="shared" si="72"/>
        <v>712.16511187500021</v>
      </c>
      <c r="L135" s="120">
        <f t="shared" si="72"/>
        <v>747.77336746875028</v>
      </c>
      <c r="M135" s="120">
        <f t="shared" si="72"/>
        <v>785.16203584218783</v>
      </c>
      <c r="N135" s="120">
        <f t="shared" si="72"/>
        <v>824.42013763429725</v>
      </c>
      <c r="O135" s="120">
        <f t="shared" si="72"/>
        <v>865.6411445160121</v>
      </c>
      <c r="P135" s="124">
        <f t="shared" si="72"/>
        <v>908.9232017418127</v>
      </c>
      <c r="Q135" s="50"/>
      <c r="R135" s="50"/>
      <c r="S135" s="50"/>
      <c r="T135" s="50"/>
      <c r="U135" s="50"/>
      <c r="V135" s="50"/>
      <c r="W135" s="50"/>
      <c r="X135" s="50"/>
      <c r="Y135" s="50"/>
      <c r="Z135" s="50"/>
    </row>
    <row r="136" spans="1:26" ht="15.75" customHeight="1" x14ac:dyDescent="0.35">
      <c r="A136" s="50"/>
      <c r="B136" s="53" t="s">
        <v>198</v>
      </c>
      <c r="C136" s="116" t="s">
        <v>94</v>
      </c>
      <c r="D136" s="80">
        <f t="shared" ref="D136:F136" si="73">D28</f>
        <v>2189</v>
      </c>
      <c r="E136" s="80">
        <f t="shared" si="73"/>
        <v>1080</v>
      </c>
      <c r="F136" s="80">
        <f t="shared" si="73"/>
        <v>501</v>
      </c>
      <c r="G136" s="120">
        <f t="shared" ref="G136:P136" si="74">F136*(1+$D$14)</f>
        <v>526.05000000000007</v>
      </c>
      <c r="H136" s="120">
        <f t="shared" si="74"/>
        <v>552.35250000000008</v>
      </c>
      <c r="I136" s="120">
        <f t="shared" si="74"/>
        <v>579.97012500000005</v>
      </c>
      <c r="J136" s="120">
        <f t="shared" si="74"/>
        <v>608.96863125000004</v>
      </c>
      <c r="K136" s="120">
        <f t="shared" si="74"/>
        <v>639.41706281250003</v>
      </c>
      <c r="L136" s="120">
        <f t="shared" si="74"/>
        <v>671.38791595312512</v>
      </c>
      <c r="M136" s="120">
        <f t="shared" si="74"/>
        <v>704.9573117507814</v>
      </c>
      <c r="N136" s="120">
        <f t="shared" si="74"/>
        <v>740.20517733832048</v>
      </c>
      <c r="O136" s="120">
        <f t="shared" si="74"/>
        <v>777.21543620523653</v>
      </c>
      <c r="P136" s="124">
        <f t="shared" si="74"/>
        <v>816.07620801549842</v>
      </c>
      <c r="Q136" s="50"/>
      <c r="R136" s="50"/>
      <c r="S136" s="50"/>
      <c r="T136" s="50"/>
      <c r="U136" s="50"/>
      <c r="V136" s="50"/>
      <c r="W136" s="50"/>
      <c r="X136" s="50"/>
      <c r="Y136" s="50"/>
      <c r="Z136" s="50"/>
    </row>
    <row r="137" spans="1:26" ht="15.75" customHeight="1" x14ac:dyDescent="0.35">
      <c r="A137" s="50"/>
      <c r="B137" s="53" t="s">
        <v>199</v>
      </c>
      <c r="C137" s="116" t="s">
        <v>94</v>
      </c>
      <c r="D137" s="80">
        <f t="shared" ref="D137:F137" si="75">D29</f>
        <v>78</v>
      </c>
      <c r="E137" s="80">
        <f t="shared" si="75"/>
        <v>54</v>
      </c>
      <c r="F137" s="80">
        <f t="shared" si="75"/>
        <v>420</v>
      </c>
      <c r="G137" s="120">
        <f t="shared" ref="G137:P137" si="76">F137*(1+$D$14)</f>
        <v>441</v>
      </c>
      <c r="H137" s="120">
        <f t="shared" si="76"/>
        <v>463.05</v>
      </c>
      <c r="I137" s="120">
        <f t="shared" si="76"/>
        <v>486.20250000000004</v>
      </c>
      <c r="J137" s="120">
        <f t="shared" si="76"/>
        <v>510.51262500000007</v>
      </c>
      <c r="K137" s="120">
        <f t="shared" si="76"/>
        <v>536.03825625000013</v>
      </c>
      <c r="L137" s="120">
        <f t="shared" si="76"/>
        <v>562.84016906250019</v>
      </c>
      <c r="M137" s="120">
        <f t="shared" si="76"/>
        <v>590.98217751562527</v>
      </c>
      <c r="N137" s="120">
        <f t="shared" si="76"/>
        <v>620.53128639140652</v>
      </c>
      <c r="O137" s="120">
        <f t="shared" si="76"/>
        <v>651.55785071097682</v>
      </c>
      <c r="P137" s="124">
        <f t="shared" si="76"/>
        <v>684.13574324652575</v>
      </c>
      <c r="Q137" s="50"/>
      <c r="R137" s="50"/>
      <c r="S137" s="50"/>
      <c r="T137" s="50"/>
      <c r="U137" s="50"/>
      <c r="V137" s="50"/>
      <c r="W137" s="50"/>
      <c r="X137" s="50"/>
      <c r="Y137" s="50"/>
      <c r="Z137" s="50"/>
    </row>
    <row r="138" spans="1:26" ht="15.75" customHeight="1" x14ac:dyDescent="0.35">
      <c r="A138" s="50"/>
      <c r="B138" s="53" t="s">
        <v>152</v>
      </c>
      <c r="C138" s="116" t="s">
        <v>94</v>
      </c>
      <c r="D138" s="80">
        <f t="shared" ref="D138:F138" si="77">D30</f>
        <v>529</v>
      </c>
      <c r="E138" s="80">
        <f t="shared" si="77"/>
        <v>355</v>
      </c>
      <c r="F138" s="80">
        <f t="shared" si="77"/>
        <v>38</v>
      </c>
      <c r="G138" s="120">
        <f t="shared" ref="G138:P138" si="78">F138*(1+$D$14)</f>
        <v>39.9</v>
      </c>
      <c r="H138" s="120">
        <f t="shared" si="78"/>
        <v>41.895000000000003</v>
      </c>
      <c r="I138" s="120">
        <f t="shared" si="78"/>
        <v>43.989750000000008</v>
      </c>
      <c r="J138" s="120">
        <f t="shared" si="78"/>
        <v>46.189237500000011</v>
      </c>
      <c r="K138" s="120">
        <f t="shared" si="78"/>
        <v>48.498699375000015</v>
      </c>
      <c r="L138" s="120">
        <f t="shared" si="78"/>
        <v>50.923634343750017</v>
      </c>
      <c r="M138" s="120">
        <f t="shared" si="78"/>
        <v>53.469816060937518</v>
      </c>
      <c r="N138" s="120">
        <f t="shared" si="78"/>
        <v>56.1433068639844</v>
      </c>
      <c r="O138" s="120">
        <f t="shared" si="78"/>
        <v>58.950472207183623</v>
      </c>
      <c r="P138" s="124">
        <f t="shared" si="78"/>
        <v>61.897995817542807</v>
      </c>
      <c r="Q138" s="50"/>
      <c r="R138" s="50"/>
      <c r="S138" s="50"/>
      <c r="T138" s="50"/>
      <c r="U138" s="50"/>
      <c r="V138" s="50"/>
      <c r="W138" s="50"/>
      <c r="X138" s="50"/>
      <c r="Y138" s="50"/>
      <c r="Z138" s="50"/>
    </row>
    <row r="139" spans="1:26" ht="15.75" customHeight="1" x14ac:dyDescent="0.35">
      <c r="A139" s="50"/>
      <c r="B139" s="53" t="s">
        <v>153</v>
      </c>
      <c r="C139" s="116" t="s">
        <v>94</v>
      </c>
      <c r="D139" s="80">
        <f t="shared" ref="D139:F139" si="79">D31</f>
        <v>3481</v>
      </c>
      <c r="E139" s="80">
        <f t="shared" si="79"/>
        <v>1157</v>
      </c>
      <c r="F139" s="80">
        <f t="shared" si="79"/>
        <v>12</v>
      </c>
      <c r="G139" s="120">
        <f t="shared" ref="G139:P139" si="80">F139*(1+$D$14)</f>
        <v>12.600000000000001</v>
      </c>
      <c r="H139" s="120">
        <f t="shared" si="80"/>
        <v>13.230000000000002</v>
      </c>
      <c r="I139" s="120">
        <f t="shared" si="80"/>
        <v>13.891500000000002</v>
      </c>
      <c r="J139" s="120">
        <f t="shared" si="80"/>
        <v>14.586075000000003</v>
      </c>
      <c r="K139" s="120">
        <f t="shared" si="80"/>
        <v>15.315378750000004</v>
      </c>
      <c r="L139" s="120">
        <f t="shared" si="80"/>
        <v>16.081147687500007</v>
      </c>
      <c r="M139" s="120">
        <f t="shared" si="80"/>
        <v>16.885205071875006</v>
      </c>
      <c r="N139" s="120">
        <f t="shared" si="80"/>
        <v>17.729465325468759</v>
      </c>
      <c r="O139" s="120">
        <f t="shared" si="80"/>
        <v>18.615938591742196</v>
      </c>
      <c r="P139" s="124">
        <f t="shared" si="80"/>
        <v>19.546735521329307</v>
      </c>
      <c r="Q139" s="50"/>
      <c r="R139" s="50"/>
      <c r="S139" s="50"/>
      <c r="T139" s="50"/>
      <c r="U139" s="50"/>
      <c r="V139" s="50"/>
      <c r="W139" s="50"/>
      <c r="X139" s="50"/>
      <c r="Y139" s="50"/>
      <c r="Z139" s="50"/>
    </row>
    <row r="140" spans="1:26" ht="15.75" customHeight="1" x14ac:dyDescent="0.35">
      <c r="A140" s="50"/>
      <c r="B140" s="53" t="s">
        <v>154</v>
      </c>
      <c r="C140" s="116" t="s">
        <v>94</v>
      </c>
      <c r="D140" s="80">
        <f t="shared" ref="D140:F140" si="81">D32</f>
        <v>0</v>
      </c>
      <c r="E140" s="80">
        <f t="shared" si="81"/>
        <v>0</v>
      </c>
      <c r="F140" s="80">
        <f t="shared" si="81"/>
        <v>0</v>
      </c>
      <c r="G140" s="120">
        <f t="shared" ref="G140:P140" si="82">F140*(1+$D$14)</f>
        <v>0</v>
      </c>
      <c r="H140" s="120">
        <f t="shared" si="82"/>
        <v>0</v>
      </c>
      <c r="I140" s="120">
        <f t="shared" si="82"/>
        <v>0</v>
      </c>
      <c r="J140" s="120">
        <f t="shared" si="82"/>
        <v>0</v>
      </c>
      <c r="K140" s="120">
        <f t="shared" si="82"/>
        <v>0</v>
      </c>
      <c r="L140" s="120">
        <f t="shared" si="82"/>
        <v>0</v>
      </c>
      <c r="M140" s="120">
        <f t="shared" si="82"/>
        <v>0</v>
      </c>
      <c r="N140" s="120">
        <f t="shared" si="82"/>
        <v>0</v>
      </c>
      <c r="O140" s="120">
        <f t="shared" si="82"/>
        <v>0</v>
      </c>
      <c r="P140" s="124">
        <f t="shared" si="82"/>
        <v>0</v>
      </c>
      <c r="Q140" s="50"/>
      <c r="R140" s="50"/>
      <c r="S140" s="50"/>
      <c r="T140" s="50"/>
      <c r="U140" s="50"/>
      <c r="V140" s="50"/>
      <c r="W140" s="50"/>
      <c r="X140" s="50"/>
      <c r="Y140" s="50"/>
      <c r="Z140" s="50"/>
    </row>
    <row r="141" spans="1:26" ht="15.75" customHeight="1" x14ac:dyDescent="0.35">
      <c r="A141" s="50"/>
      <c r="B141" s="53" t="s">
        <v>155</v>
      </c>
      <c r="C141" s="116" t="s">
        <v>94</v>
      </c>
      <c r="D141" s="80">
        <f t="shared" ref="D141:F141" si="83">D33</f>
        <v>0</v>
      </c>
      <c r="E141" s="80">
        <f t="shared" si="83"/>
        <v>0</v>
      </c>
      <c r="F141" s="80">
        <f t="shared" si="83"/>
        <v>0</v>
      </c>
      <c r="G141" s="120">
        <f t="shared" ref="G141:P141" si="84">F141*(1+$D$14)</f>
        <v>0</v>
      </c>
      <c r="H141" s="120">
        <f t="shared" si="84"/>
        <v>0</v>
      </c>
      <c r="I141" s="120">
        <f t="shared" si="84"/>
        <v>0</v>
      </c>
      <c r="J141" s="120">
        <f t="shared" si="84"/>
        <v>0</v>
      </c>
      <c r="K141" s="120">
        <f t="shared" si="84"/>
        <v>0</v>
      </c>
      <c r="L141" s="120">
        <f t="shared" si="84"/>
        <v>0</v>
      </c>
      <c r="M141" s="120">
        <f t="shared" si="84"/>
        <v>0</v>
      </c>
      <c r="N141" s="120">
        <f t="shared" si="84"/>
        <v>0</v>
      </c>
      <c r="O141" s="120">
        <f t="shared" si="84"/>
        <v>0</v>
      </c>
      <c r="P141" s="124">
        <f t="shared" si="84"/>
        <v>0</v>
      </c>
      <c r="Q141" s="50"/>
      <c r="R141" s="50"/>
      <c r="S141" s="50"/>
      <c r="T141" s="50"/>
      <c r="U141" s="50"/>
      <c r="V141" s="50"/>
      <c r="W141" s="50"/>
      <c r="X141" s="50"/>
      <c r="Y141" s="50"/>
      <c r="Z141" s="50"/>
    </row>
    <row r="142" spans="1:26" ht="15.75" customHeight="1" x14ac:dyDescent="0.35">
      <c r="A142" s="50"/>
      <c r="B142" s="53" t="s">
        <v>156</v>
      </c>
      <c r="C142" s="116" t="s">
        <v>94</v>
      </c>
      <c r="D142" s="80">
        <f t="shared" ref="D142:F142" si="85">D34</f>
        <v>0</v>
      </c>
      <c r="E142" s="80">
        <f t="shared" si="85"/>
        <v>67</v>
      </c>
      <c r="F142" s="80">
        <f t="shared" si="85"/>
        <v>0</v>
      </c>
      <c r="G142" s="120">
        <f t="shared" ref="G142:P142" si="86">F142*(1+$D$14)</f>
        <v>0</v>
      </c>
      <c r="H142" s="120">
        <f t="shared" si="86"/>
        <v>0</v>
      </c>
      <c r="I142" s="120">
        <f t="shared" si="86"/>
        <v>0</v>
      </c>
      <c r="J142" s="120">
        <f t="shared" si="86"/>
        <v>0</v>
      </c>
      <c r="K142" s="120">
        <f t="shared" si="86"/>
        <v>0</v>
      </c>
      <c r="L142" s="120">
        <f t="shared" si="86"/>
        <v>0</v>
      </c>
      <c r="M142" s="120">
        <f t="shared" si="86"/>
        <v>0</v>
      </c>
      <c r="N142" s="120">
        <f t="shared" si="86"/>
        <v>0</v>
      </c>
      <c r="O142" s="120">
        <f t="shared" si="86"/>
        <v>0</v>
      </c>
      <c r="P142" s="124">
        <f t="shared" si="86"/>
        <v>0</v>
      </c>
      <c r="Q142" s="50"/>
      <c r="R142" s="50"/>
      <c r="S142" s="50"/>
      <c r="T142" s="50"/>
      <c r="U142" s="50"/>
      <c r="V142" s="50"/>
      <c r="W142" s="50"/>
      <c r="X142" s="50"/>
      <c r="Y142" s="50"/>
      <c r="Z142" s="50"/>
    </row>
    <row r="143" spans="1:26" ht="15.75" customHeight="1" x14ac:dyDescent="0.35">
      <c r="A143" s="50"/>
      <c r="B143" s="161" t="s">
        <v>96</v>
      </c>
      <c r="C143" s="116" t="s">
        <v>94</v>
      </c>
      <c r="D143" s="80">
        <f t="shared" ref="D143:F143" si="87">D35</f>
        <v>0</v>
      </c>
      <c r="E143" s="80">
        <f t="shared" si="87"/>
        <v>0</v>
      </c>
      <c r="F143" s="80">
        <f t="shared" si="87"/>
        <v>0</v>
      </c>
      <c r="G143" s="120">
        <f t="shared" ref="G143:P143" si="88">F143*(1+$D$14)</f>
        <v>0</v>
      </c>
      <c r="H143" s="120">
        <f t="shared" si="88"/>
        <v>0</v>
      </c>
      <c r="I143" s="120">
        <f t="shared" si="88"/>
        <v>0</v>
      </c>
      <c r="J143" s="120">
        <f t="shared" si="88"/>
        <v>0</v>
      </c>
      <c r="K143" s="120">
        <f t="shared" si="88"/>
        <v>0</v>
      </c>
      <c r="L143" s="120">
        <f t="shared" si="88"/>
        <v>0</v>
      </c>
      <c r="M143" s="120">
        <f t="shared" si="88"/>
        <v>0</v>
      </c>
      <c r="N143" s="120">
        <f t="shared" si="88"/>
        <v>0</v>
      </c>
      <c r="O143" s="120">
        <f t="shared" si="88"/>
        <v>0</v>
      </c>
      <c r="P143" s="124">
        <f t="shared" si="88"/>
        <v>0</v>
      </c>
      <c r="Q143" s="50"/>
      <c r="R143" s="50"/>
      <c r="S143" s="50"/>
      <c r="T143" s="50"/>
      <c r="U143" s="50"/>
      <c r="V143" s="50"/>
      <c r="W143" s="50"/>
      <c r="X143" s="50"/>
      <c r="Y143" s="50"/>
      <c r="Z143" s="50"/>
    </row>
    <row r="144" spans="1:26" ht="15.75" customHeight="1" x14ac:dyDescent="0.35">
      <c r="A144" s="50"/>
      <c r="B144" s="53" t="s">
        <v>158</v>
      </c>
      <c r="C144" s="116" t="s">
        <v>94</v>
      </c>
      <c r="D144" s="80">
        <f t="shared" ref="D144:F144" si="89">D36</f>
        <v>0</v>
      </c>
      <c r="E144" s="80">
        <f t="shared" si="89"/>
        <v>0</v>
      </c>
      <c r="F144" s="80">
        <f t="shared" si="89"/>
        <v>0</v>
      </c>
      <c r="G144" s="120">
        <f t="shared" ref="G144:P144" si="90">F144*(1+$D$14)</f>
        <v>0</v>
      </c>
      <c r="H144" s="120">
        <f t="shared" si="90"/>
        <v>0</v>
      </c>
      <c r="I144" s="120">
        <f t="shared" si="90"/>
        <v>0</v>
      </c>
      <c r="J144" s="120">
        <f t="shared" si="90"/>
        <v>0</v>
      </c>
      <c r="K144" s="120">
        <f t="shared" si="90"/>
        <v>0</v>
      </c>
      <c r="L144" s="120">
        <f t="shared" si="90"/>
        <v>0</v>
      </c>
      <c r="M144" s="120">
        <f t="shared" si="90"/>
        <v>0</v>
      </c>
      <c r="N144" s="120">
        <f t="shared" si="90"/>
        <v>0</v>
      </c>
      <c r="O144" s="120">
        <f t="shared" si="90"/>
        <v>0</v>
      </c>
      <c r="P144" s="124">
        <f t="shared" si="90"/>
        <v>0</v>
      </c>
      <c r="Q144" s="50"/>
      <c r="R144" s="50"/>
      <c r="S144" s="50"/>
      <c r="T144" s="50"/>
      <c r="U144" s="50"/>
      <c r="V144" s="50"/>
      <c r="W144" s="50"/>
      <c r="X144" s="50"/>
      <c r="Y144" s="50"/>
      <c r="Z144" s="50"/>
    </row>
    <row r="145" spans="1:26" ht="15.75" customHeight="1" x14ac:dyDescent="0.35">
      <c r="A145" s="32"/>
      <c r="B145" s="58" t="s">
        <v>65</v>
      </c>
      <c r="C145" s="32"/>
      <c r="D145" s="118">
        <f t="shared" ref="D145:P145" si="91">SUM(D131:D144)</f>
        <v>34304</v>
      </c>
      <c r="E145" s="118">
        <f t="shared" si="91"/>
        <v>24384</v>
      </c>
      <c r="F145" s="118">
        <f t="shared" si="91"/>
        <v>26363</v>
      </c>
      <c r="G145" s="118">
        <f t="shared" si="91"/>
        <v>27681.15</v>
      </c>
      <c r="H145" s="118">
        <f t="shared" si="91"/>
        <v>29065.207500000004</v>
      </c>
      <c r="I145" s="118">
        <f t="shared" si="91"/>
        <v>30518.467875000006</v>
      </c>
      <c r="J145" s="118">
        <f t="shared" si="91"/>
        <v>32044.391268750009</v>
      </c>
      <c r="K145" s="118">
        <f t="shared" si="91"/>
        <v>33646.610832187507</v>
      </c>
      <c r="L145" s="118">
        <f t="shared" si="91"/>
        <v>35328.941373796893</v>
      </c>
      <c r="M145" s="118">
        <f t="shared" si="91"/>
        <v>37095.388442486728</v>
      </c>
      <c r="N145" s="118">
        <f t="shared" si="91"/>
        <v>38950.157864611065</v>
      </c>
      <c r="O145" s="118">
        <f t="shared" si="91"/>
        <v>40897.665757841627</v>
      </c>
      <c r="P145" s="119">
        <f t="shared" si="91"/>
        <v>42942.5490457337</v>
      </c>
      <c r="Q145" s="32"/>
      <c r="R145" s="32"/>
      <c r="S145" s="32"/>
      <c r="T145" s="32"/>
      <c r="U145" s="32"/>
      <c r="V145" s="32"/>
      <c r="W145" s="32"/>
      <c r="X145" s="32"/>
      <c r="Y145" s="32"/>
      <c r="Z145" s="32"/>
    </row>
    <row r="146" spans="1:26" ht="15.75" customHeight="1" x14ac:dyDescent="0.35">
      <c r="A146" s="50"/>
      <c r="B146" s="62" t="s">
        <v>218</v>
      </c>
      <c r="C146" s="47"/>
      <c r="D146" s="121"/>
      <c r="E146" s="121"/>
      <c r="F146" s="121"/>
      <c r="G146" s="64"/>
      <c r="H146" s="64"/>
      <c r="I146" s="64"/>
      <c r="J146" s="64"/>
      <c r="K146" s="64"/>
      <c r="L146" s="64"/>
      <c r="M146" s="64"/>
      <c r="N146" s="64"/>
      <c r="O146" s="64"/>
      <c r="P146" s="122"/>
      <c r="Q146" s="50"/>
      <c r="R146" s="50"/>
      <c r="S146" s="50"/>
      <c r="T146" s="50"/>
      <c r="U146" s="50"/>
      <c r="V146" s="50"/>
      <c r="W146" s="50"/>
      <c r="X146" s="50"/>
      <c r="Y146" s="50"/>
      <c r="Z146" s="50"/>
    </row>
    <row r="147" spans="1:26" ht="15.75" customHeight="1" x14ac:dyDescent="0.35">
      <c r="A147" s="50"/>
      <c r="B147" s="53" t="s">
        <v>145</v>
      </c>
      <c r="C147" s="116"/>
      <c r="D147" s="125">
        <f t="shared" ref="D147:F147" si="92">D40</f>
        <v>9.6184183694277898</v>
      </c>
      <c r="E147" s="125">
        <f t="shared" si="92"/>
        <v>9.3946146703806868</v>
      </c>
      <c r="F147" s="125">
        <f t="shared" si="92"/>
        <v>9.6201910437297347</v>
      </c>
      <c r="G147" s="126">
        <f t="shared" ref="G147:P147" si="93">IFERROR(F147*(1+$D$18),"")</f>
        <v>9.6201910437297347</v>
      </c>
      <c r="H147" s="126">
        <f t="shared" si="93"/>
        <v>9.6201910437297347</v>
      </c>
      <c r="I147" s="126">
        <f t="shared" si="93"/>
        <v>9.6201910437297347</v>
      </c>
      <c r="J147" s="126">
        <f t="shared" si="93"/>
        <v>9.6201910437297347</v>
      </c>
      <c r="K147" s="126">
        <f t="shared" si="93"/>
        <v>9.6201910437297347</v>
      </c>
      <c r="L147" s="126">
        <f t="shared" si="93"/>
        <v>9.6201910437297347</v>
      </c>
      <c r="M147" s="126">
        <f t="shared" si="93"/>
        <v>9.6201910437297347</v>
      </c>
      <c r="N147" s="126">
        <f t="shared" si="93"/>
        <v>9.6201910437297347</v>
      </c>
      <c r="O147" s="126">
        <f t="shared" si="93"/>
        <v>9.6201910437297347</v>
      </c>
      <c r="P147" s="127">
        <f t="shared" si="93"/>
        <v>9.6201910437297347</v>
      </c>
      <c r="Q147" s="50"/>
      <c r="R147" s="50"/>
      <c r="S147" s="50"/>
      <c r="T147" s="50"/>
      <c r="U147" s="50"/>
      <c r="V147" s="50"/>
      <c r="W147" s="50"/>
      <c r="X147" s="50"/>
      <c r="Y147" s="50"/>
      <c r="Z147" s="50"/>
    </row>
    <row r="148" spans="1:26" ht="15.75" customHeight="1" x14ac:dyDescent="0.35">
      <c r="A148" s="50"/>
      <c r="B148" s="53" t="s">
        <v>146</v>
      </c>
      <c r="C148" s="116"/>
      <c r="D148" s="125">
        <f t="shared" ref="D148:F148" si="94">D41</f>
        <v>54.070019096117122</v>
      </c>
      <c r="E148" s="125">
        <f t="shared" si="94"/>
        <v>52.287258687258685</v>
      </c>
      <c r="F148" s="125">
        <f t="shared" si="94"/>
        <v>53.769811320754719</v>
      </c>
      <c r="G148" s="126">
        <f t="shared" ref="G148:P148" si="95">IFERROR(F148*(1+$D$18),"")</f>
        <v>53.769811320754719</v>
      </c>
      <c r="H148" s="126">
        <f t="shared" si="95"/>
        <v>53.769811320754719</v>
      </c>
      <c r="I148" s="126">
        <f t="shared" si="95"/>
        <v>53.769811320754719</v>
      </c>
      <c r="J148" s="126">
        <f t="shared" si="95"/>
        <v>53.769811320754719</v>
      </c>
      <c r="K148" s="126">
        <f t="shared" si="95"/>
        <v>53.769811320754719</v>
      </c>
      <c r="L148" s="126">
        <f t="shared" si="95"/>
        <v>53.769811320754719</v>
      </c>
      <c r="M148" s="126">
        <f t="shared" si="95"/>
        <v>53.769811320754719</v>
      </c>
      <c r="N148" s="126">
        <f t="shared" si="95"/>
        <v>53.769811320754719</v>
      </c>
      <c r="O148" s="126">
        <f t="shared" si="95"/>
        <v>53.769811320754719</v>
      </c>
      <c r="P148" s="127">
        <f t="shared" si="95"/>
        <v>53.769811320754719</v>
      </c>
      <c r="Q148" s="50"/>
      <c r="R148" s="50"/>
      <c r="S148" s="50"/>
      <c r="T148" s="50"/>
      <c r="U148" s="50"/>
      <c r="V148" s="50"/>
      <c r="W148" s="50"/>
      <c r="X148" s="50"/>
      <c r="Y148" s="50"/>
      <c r="Z148" s="50"/>
    </row>
    <row r="149" spans="1:26" ht="15.75" customHeight="1" x14ac:dyDescent="0.35">
      <c r="A149" s="50"/>
      <c r="B149" s="53" t="s">
        <v>147</v>
      </c>
      <c r="C149" s="116"/>
      <c r="D149" s="125">
        <f t="shared" ref="D149:F149" si="96">D42</f>
        <v>362.71244131455398</v>
      </c>
      <c r="E149" s="125">
        <f t="shared" si="96"/>
        <v>404.42613636363637</v>
      </c>
      <c r="F149" s="125">
        <f t="shared" si="96"/>
        <v>389.72667217175888</v>
      </c>
      <c r="G149" s="126">
        <f t="shared" ref="G149:P149" si="97">IFERROR(F149*(1+$D$18),"")</f>
        <v>389.72667217175888</v>
      </c>
      <c r="H149" s="126">
        <f t="shared" si="97"/>
        <v>389.72667217175888</v>
      </c>
      <c r="I149" s="126">
        <f t="shared" si="97"/>
        <v>389.72667217175888</v>
      </c>
      <c r="J149" s="126">
        <f t="shared" si="97"/>
        <v>389.72667217175888</v>
      </c>
      <c r="K149" s="126">
        <f t="shared" si="97"/>
        <v>389.72667217175888</v>
      </c>
      <c r="L149" s="126">
        <f t="shared" si="97"/>
        <v>389.72667217175888</v>
      </c>
      <c r="M149" s="126">
        <f t="shared" si="97"/>
        <v>389.72667217175888</v>
      </c>
      <c r="N149" s="126">
        <f t="shared" si="97"/>
        <v>389.72667217175888</v>
      </c>
      <c r="O149" s="126">
        <f t="shared" si="97"/>
        <v>389.72667217175888</v>
      </c>
      <c r="P149" s="127">
        <f t="shared" si="97"/>
        <v>389.72667217175888</v>
      </c>
      <c r="Q149" s="50"/>
      <c r="R149" s="50"/>
      <c r="S149" s="50"/>
      <c r="T149" s="50"/>
      <c r="U149" s="50"/>
      <c r="V149" s="50"/>
      <c r="W149" s="50"/>
      <c r="X149" s="50"/>
      <c r="Y149" s="50"/>
      <c r="Z149" s="50"/>
    </row>
    <row r="150" spans="1:26" ht="15.75" customHeight="1" x14ac:dyDescent="0.35">
      <c r="A150" s="50"/>
      <c r="B150" s="53" t="s">
        <v>148</v>
      </c>
      <c r="C150" s="116"/>
      <c r="D150" s="125">
        <f t="shared" ref="D150:F150" si="98">D43</f>
        <v>0</v>
      </c>
      <c r="E150" s="125">
        <f t="shared" si="98"/>
        <v>0</v>
      </c>
      <c r="F150" s="125">
        <f t="shared" si="98"/>
        <v>0</v>
      </c>
      <c r="G150" s="126">
        <f t="shared" ref="G150:P150" si="99">IFERROR(F150*(1+$D$18),"")</f>
        <v>0</v>
      </c>
      <c r="H150" s="126">
        <f t="shared" si="99"/>
        <v>0</v>
      </c>
      <c r="I150" s="126">
        <f t="shared" si="99"/>
        <v>0</v>
      </c>
      <c r="J150" s="126">
        <f t="shared" si="99"/>
        <v>0</v>
      </c>
      <c r="K150" s="126">
        <f t="shared" si="99"/>
        <v>0</v>
      </c>
      <c r="L150" s="126">
        <f t="shared" si="99"/>
        <v>0</v>
      </c>
      <c r="M150" s="126">
        <f t="shared" si="99"/>
        <v>0</v>
      </c>
      <c r="N150" s="126">
        <f t="shared" si="99"/>
        <v>0</v>
      </c>
      <c r="O150" s="126">
        <f t="shared" si="99"/>
        <v>0</v>
      </c>
      <c r="P150" s="127">
        <f t="shared" si="99"/>
        <v>0</v>
      </c>
      <c r="Q150" s="50"/>
      <c r="R150" s="50"/>
      <c r="S150" s="50"/>
      <c r="T150" s="50"/>
      <c r="U150" s="50"/>
      <c r="V150" s="50"/>
      <c r="W150" s="50"/>
      <c r="X150" s="50"/>
      <c r="Y150" s="50"/>
      <c r="Z150" s="50"/>
    </row>
    <row r="151" spans="1:26" ht="15.75" customHeight="1" x14ac:dyDescent="0.35">
      <c r="A151" s="50"/>
      <c r="B151" s="53" t="s">
        <v>149</v>
      </c>
      <c r="C151" s="116"/>
      <c r="D151" s="125">
        <f t="shared" ref="D151:F151" si="100">D44</f>
        <v>322.07004608294932</v>
      </c>
      <c r="E151" s="125">
        <f t="shared" si="100"/>
        <v>321.893175074184</v>
      </c>
      <c r="F151" s="125">
        <f t="shared" si="100"/>
        <v>289.55555555555554</v>
      </c>
      <c r="G151" s="126">
        <f t="shared" ref="G151:P151" si="101">IFERROR(F151*(1+$D$18),"")</f>
        <v>289.55555555555554</v>
      </c>
      <c r="H151" s="126">
        <f t="shared" si="101"/>
        <v>289.55555555555554</v>
      </c>
      <c r="I151" s="126">
        <f t="shared" si="101"/>
        <v>289.55555555555554</v>
      </c>
      <c r="J151" s="126">
        <f t="shared" si="101"/>
        <v>289.55555555555554</v>
      </c>
      <c r="K151" s="126">
        <f t="shared" si="101"/>
        <v>289.55555555555554</v>
      </c>
      <c r="L151" s="126">
        <f t="shared" si="101"/>
        <v>289.55555555555554</v>
      </c>
      <c r="M151" s="126">
        <f t="shared" si="101"/>
        <v>289.55555555555554</v>
      </c>
      <c r="N151" s="126">
        <f t="shared" si="101"/>
        <v>289.55555555555554</v>
      </c>
      <c r="O151" s="126">
        <f t="shared" si="101"/>
        <v>289.55555555555554</v>
      </c>
      <c r="P151" s="127">
        <f t="shared" si="101"/>
        <v>289.55555555555554</v>
      </c>
      <c r="Q151" s="50"/>
      <c r="R151" s="50"/>
      <c r="S151" s="50"/>
      <c r="T151" s="50"/>
      <c r="U151" s="50"/>
      <c r="V151" s="50"/>
      <c r="W151" s="50"/>
      <c r="X151" s="50"/>
      <c r="Y151" s="50"/>
      <c r="Z151" s="50"/>
    </row>
    <row r="152" spans="1:26" ht="15.75" customHeight="1" x14ac:dyDescent="0.35">
      <c r="A152" s="50"/>
      <c r="B152" s="53" t="s">
        <v>198</v>
      </c>
      <c r="C152" s="116"/>
      <c r="D152" s="125">
        <f t="shared" ref="D152:F152" si="102">D45</f>
        <v>22.467336683417084</v>
      </c>
      <c r="E152" s="125">
        <f t="shared" si="102"/>
        <v>20.202777777777779</v>
      </c>
      <c r="F152" s="125">
        <f t="shared" si="102"/>
        <v>20.301397205588824</v>
      </c>
      <c r="G152" s="126">
        <f t="shared" ref="G152:P152" si="103">IFERROR(F152*(1+$D$18),"")</f>
        <v>20.301397205588824</v>
      </c>
      <c r="H152" s="126">
        <f t="shared" si="103"/>
        <v>20.301397205588824</v>
      </c>
      <c r="I152" s="126">
        <f t="shared" si="103"/>
        <v>20.301397205588824</v>
      </c>
      <c r="J152" s="126">
        <f t="shared" si="103"/>
        <v>20.301397205588824</v>
      </c>
      <c r="K152" s="126">
        <f t="shared" si="103"/>
        <v>20.301397205588824</v>
      </c>
      <c r="L152" s="126">
        <f t="shared" si="103"/>
        <v>20.301397205588824</v>
      </c>
      <c r="M152" s="126">
        <f t="shared" si="103"/>
        <v>20.301397205588824</v>
      </c>
      <c r="N152" s="126">
        <f t="shared" si="103"/>
        <v>20.301397205588824</v>
      </c>
      <c r="O152" s="126">
        <f t="shared" si="103"/>
        <v>20.301397205588824</v>
      </c>
      <c r="P152" s="127">
        <f t="shared" si="103"/>
        <v>20.301397205588824</v>
      </c>
      <c r="Q152" s="50"/>
      <c r="R152" s="50"/>
      <c r="S152" s="50"/>
      <c r="T152" s="50"/>
      <c r="U152" s="50"/>
      <c r="V152" s="50"/>
      <c r="W152" s="50"/>
      <c r="X152" s="50"/>
      <c r="Y152" s="50"/>
      <c r="Z152" s="50"/>
    </row>
    <row r="153" spans="1:26" ht="15.75" customHeight="1" x14ac:dyDescent="0.35">
      <c r="A153" s="50"/>
      <c r="B153" s="53" t="s">
        <v>199</v>
      </c>
      <c r="C153" s="116"/>
      <c r="D153" s="125">
        <f t="shared" ref="D153:F153" si="104">D46</f>
        <v>25.5</v>
      </c>
      <c r="E153" s="125">
        <f t="shared" si="104"/>
        <v>25.018518518518519</v>
      </c>
      <c r="F153" s="125">
        <f t="shared" si="104"/>
        <v>24.185714285714287</v>
      </c>
      <c r="G153" s="126">
        <f t="shared" ref="G153:P153" si="105">IFERROR(F153*(1+$D$18),"")</f>
        <v>24.185714285714287</v>
      </c>
      <c r="H153" s="126">
        <f t="shared" si="105"/>
        <v>24.185714285714287</v>
      </c>
      <c r="I153" s="126">
        <f t="shared" si="105"/>
        <v>24.185714285714287</v>
      </c>
      <c r="J153" s="126">
        <f t="shared" si="105"/>
        <v>24.185714285714287</v>
      </c>
      <c r="K153" s="126">
        <f t="shared" si="105"/>
        <v>24.185714285714287</v>
      </c>
      <c r="L153" s="126">
        <f t="shared" si="105"/>
        <v>24.185714285714287</v>
      </c>
      <c r="M153" s="126">
        <f t="shared" si="105"/>
        <v>24.185714285714287</v>
      </c>
      <c r="N153" s="126">
        <f t="shared" si="105"/>
        <v>24.185714285714287</v>
      </c>
      <c r="O153" s="126">
        <f t="shared" si="105"/>
        <v>24.185714285714287</v>
      </c>
      <c r="P153" s="127">
        <f t="shared" si="105"/>
        <v>24.185714285714287</v>
      </c>
      <c r="Q153" s="50"/>
      <c r="R153" s="50"/>
      <c r="S153" s="50"/>
      <c r="T153" s="50"/>
      <c r="U153" s="50"/>
      <c r="V153" s="50"/>
      <c r="W153" s="50"/>
      <c r="X153" s="50"/>
      <c r="Y153" s="50"/>
      <c r="Z153" s="50"/>
    </row>
    <row r="154" spans="1:26" ht="15.75" customHeight="1" x14ac:dyDescent="0.35">
      <c r="A154" s="50"/>
      <c r="B154" s="53" t="s">
        <v>152</v>
      </c>
      <c r="C154" s="116"/>
      <c r="D154" s="125">
        <f t="shared" ref="D154:F154" si="106">D47</f>
        <v>17.264650283553877</v>
      </c>
      <c r="E154" s="125">
        <f t="shared" si="106"/>
        <v>16.12676056338028</v>
      </c>
      <c r="F154" s="125">
        <f t="shared" si="106"/>
        <v>18.578947368421051</v>
      </c>
      <c r="G154" s="126">
        <f t="shared" ref="G154:P154" si="107">IFERROR(F154*(1+$D$18),"")</f>
        <v>18.578947368421051</v>
      </c>
      <c r="H154" s="126">
        <f t="shared" si="107"/>
        <v>18.578947368421051</v>
      </c>
      <c r="I154" s="126">
        <f t="shared" si="107"/>
        <v>18.578947368421051</v>
      </c>
      <c r="J154" s="126">
        <f t="shared" si="107"/>
        <v>18.578947368421051</v>
      </c>
      <c r="K154" s="126">
        <f t="shared" si="107"/>
        <v>18.578947368421051</v>
      </c>
      <c r="L154" s="126">
        <f t="shared" si="107"/>
        <v>18.578947368421051</v>
      </c>
      <c r="M154" s="126">
        <f t="shared" si="107"/>
        <v>18.578947368421051</v>
      </c>
      <c r="N154" s="126">
        <f t="shared" si="107"/>
        <v>18.578947368421051</v>
      </c>
      <c r="O154" s="126">
        <f t="shared" si="107"/>
        <v>18.578947368421051</v>
      </c>
      <c r="P154" s="127">
        <f t="shared" si="107"/>
        <v>18.578947368421051</v>
      </c>
      <c r="Q154" s="50"/>
      <c r="R154" s="50"/>
      <c r="S154" s="50"/>
      <c r="T154" s="50"/>
      <c r="U154" s="50"/>
      <c r="V154" s="50"/>
      <c r="W154" s="50"/>
      <c r="X154" s="50"/>
      <c r="Y154" s="50"/>
      <c r="Z154" s="50"/>
    </row>
    <row r="155" spans="1:26" ht="15.75" customHeight="1" x14ac:dyDescent="0.35">
      <c r="A155" s="50"/>
      <c r="B155" s="53" t="s">
        <v>153</v>
      </c>
      <c r="C155" s="116"/>
      <c r="D155" s="125">
        <f t="shared" ref="D155:F155" si="108">D48</f>
        <v>20.7888537776501</v>
      </c>
      <c r="E155" s="125">
        <f t="shared" si="108"/>
        <v>18.948141745894556</v>
      </c>
      <c r="F155" s="125">
        <f t="shared" si="108"/>
        <v>13.583333333333334</v>
      </c>
      <c r="G155" s="126">
        <f t="shared" ref="G155:P155" si="109">IFERROR(F155*(1+$D$18),"")</f>
        <v>13.583333333333334</v>
      </c>
      <c r="H155" s="126">
        <f t="shared" si="109"/>
        <v>13.583333333333334</v>
      </c>
      <c r="I155" s="126">
        <f t="shared" si="109"/>
        <v>13.583333333333334</v>
      </c>
      <c r="J155" s="126">
        <f t="shared" si="109"/>
        <v>13.583333333333334</v>
      </c>
      <c r="K155" s="126">
        <f t="shared" si="109"/>
        <v>13.583333333333334</v>
      </c>
      <c r="L155" s="126">
        <f t="shared" si="109"/>
        <v>13.583333333333334</v>
      </c>
      <c r="M155" s="126">
        <f t="shared" si="109"/>
        <v>13.583333333333334</v>
      </c>
      <c r="N155" s="126">
        <f t="shared" si="109"/>
        <v>13.583333333333334</v>
      </c>
      <c r="O155" s="126">
        <f t="shared" si="109"/>
        <v>13.583333333333334</v>
      </c>
      <c r="P155" s="127">
        <f t="shared" si="109"/>
        <v>13.583333333333334</v>
      </c>
      <c r="Q155" s="50"/>
      <c r="R155" s="50"/>
      <c r="S155" s="50"/>
      <c r="T155" s="50"/>
      <c r="U155" s="50"/>
      <c r="V155" s="50"/>
      <c r="W155" s="50"/>
      <c r="X155" s="50"/>
      <c r="Y155" s="50"/>
      <c r="Z155" s="50"/>
    </row>
    <row r="156" spans="1:26" ht="15.75" customHeight="1" x14ac:dyDescent="0.35">
      <c r="A156" s="50"/>
      <c r="B156" s="53" t="s">
        <v>154</v>
      </c>
      <c r="C156" s="116"/>
      <c r="D156" s="125">
        <f t="shared" ref="D156:F156" si="110">D49</f>
        <v>0</v>
      </c>
      <c r="E156" s="125">
        <f t="shared" si="110"/>
        <v>0</v>
      </c>
      <c r="F156" s="125">
        <f t="shared" si="110"/>
        <v>0</v>
      </c>
      <c r="G156" s="126">
        <f t="shared" ref="G156:P156" si="111">IFERROR(F156*(1+$D$18),"")</f>
        <v>0</v>
      </c>
      <c r="H156" s="126">
        <f t="shared" si="111"/>
        <v>0</v>
      </c>
      <c r="I156" s="126">
        <f t="shared" si="111"/>
        <v>0</v>
      </c>
      <c r="J156" s="126">
        <f t="shared" si="111"/>
        <v>0</v>
      </c>
      <c r="K156" s="126">
        <f t="shared" si="111"/>
        <v>0</v>
      </c>
      <c r="L156" s="126">
        <f t="shared" si="111"/>
        <v>0</v>
      </c>
      <c r="M156" s="126">
        <f t="shared" si="111"/>
        <v>0</v>
      </c>
      <c r="N156" s="126">
        <f t="shared" si="111"/>
        <v>0</v>
      </c>
      <c r="O156" s="126">
        <f t="shared" si="111"/>
        <v>0</v>
      </c>
      <c r="P156" s="127">
        <f t="shared" si="111"/>
        <v>0</v>
      </c>
      <c r="Q156" s="50"/>
      <c r="R156" s="50"/>
      <c r="S156" s="50"/>
      <c r="T156" s="50"/>
      <c r="U156" s="50"/>
      <c r="V156" s="50"/>
      <c r="W156" s="50"/>
      <c r="X156" s="50"/>
      <c r="Y156" s="50"/>
      <c r="Z156" s="50"/>
    </row>
    <row r="157" spans="1:26" ht="15.75" customHeight="1" x14ac:dyDescent="0.35">
      <c r="A157" s="50"/>
      <c r="B157" s="53" t="s">
        <v>155</v>
      </c>
      <c r="C157" s="116"/>
      <c r="D157" s="125">
        <f t="shared" ref="D157:F157" si="112">D50</f>
        <v>0</v>
      </c>
      <c r="E157" s="125">
        <f t="shared" si="112"/>
        <v>0</v>
      </c>
      <c r="F157" s="125">
        <f t="shared" si="112"/>
        <v>0</v>
      </c>
      <c r="G157" s="126">
        <f t="shared" ref="G157:P157" si="113">IFERROR(F157*(1+$D$18),"")</f>
        <v>0</v>
      </c>
      <c r="H157" s="126">
        <f t="shared" si="113"/>
        <v>0</v>
      </c>
      <c r="I157" s="126">
        <f t="shared" si="113"/>
        <v>0</v>
      </c>
      <c r="J157" s="126">
        <f t="shared" si="113"/>
        <v>0</v>
      </c>
      <c r="K157" s="126">
        <f t="shared" si="113"/>
        <v>0</v>
      </c>
      <c r="L157" s="126">
        <f t="shared" si="113"/>
        <v>0</v>
      </c>
      <c r="M157" s="126">
        <f t="shared" si="113"/>
        <v>0</v>
      </c>
      <c r="N157" s="126">
        <f t="shared" si="113"/>
        <v>0</v>
      </c>
      <c r="O157" s="126">
        <f t="shared" si="113"/>
        <v>0</v>
      </c>
      <c r="P157" s="127">
        <f t="shared" si="113"/>
        <v>0</v>
      </c>
      <c r="Q157" s="50"/>
      <c r="R157" s="50"/>
      <c r="S157" s="50"/>
      <c r="T157" s="50"/>
      <c r="U157" s="50"/>
      <c r="V157" s="50"/>
      <c r="W157" s="50"/>
      <c r="X157" s="50"/>
      <c r="Y157" s="50"/>
      <c r="Z157" s="50"/>
    </row>
    <row r="158" spans="1:26" ht="15.75" customHeight="1" x14ac:dyDescent="0.35">
      <c r="A158" s="50"/>
      <c r="B158" s="53" t="s">
        <v>156</v>
      </c>
      <c r="C158" s="116"/>
      <c r="D158" s="125">
        <f t="shared" ref="D158:F158" si="114">D51</f>
        <v>0</v>
      </c>
      <c r="E158" s="125">
        <f t="shared" si="114"/>
        <v>17.134328358208954</v>
      </c>
      <c r="F158" s="125">
        <f t="shared" si="114"/>
        <v>0</v>
      </c>
      <c r="G158" s="126">
        <f t="shared" ref="G158:P158" si="115">IFERROR(F158*(1+$D$18),"")</f>
        <v>0</v>
      </c>
      <c r="H158" s="126">
        <f t="shared" si="115"/>
        <v>0</v>
      </c>
      <c r="I158" s="126">
        <f t="shared" si="115"/>
        <v>0</v>
      </c>
      <c r="J158" s="126">
        <f t="shared" si="115"/>
        <v>0</v>
      </c>
      <c r="K158" s="126">
        <f t="shared" si="115"/>
        <v>0</v>
      </c>
      <c r="L158" s="126">
        <f t="shared" si="115"/>
        <v>0</v>
      </c>
      <c r="M158" s="126">
        <f t="shared" si="115"/>
        <v>0</v>
      </c>
      <c r="N158" s="126">
        <f t="shared" si="115"/>
        <v>0</v>
      </c>
      <c r="O158" s="126">
        <f t="shared" si="115"/>
        <v>0</v>
      </c>
      <c r="P158" s="127">
        <f t="shared" si="115"/>
        <v>0</v>
      </c>
      <c r="Q158" s="50"/>
      <c r="R158" s="50"/>
      <c r="S158" s="50"/>
      <c r="T158" s="50"/>
      <c r="U158" s="50"/>
      <c r="V158" s="50"/>
      <c r="W158" s="50"/>
      <c r="X158" s="50"/>
      <c r="Y158" s="50"/>
      <c r="Z158" s="50"/>
    </row>
    <row r="159" spans="1:26" ht="15.75" customHeight="1" x14ac:dyDescent="0.35">
      <c r="A159" s="50"/>
      <c r="B159" s="161" t="s">
        <v>96</v>
      </c>
      <c r="C159" s="116"/>
      <c r="D159" s="125">
        <f t="shared" ref="D159:F159" si="116">D52</f>
        <v>0</v>
      </c>
      <c r="E159" s="125">
        <f t="shared" si="116"/>
        <v>0</v>
      </c>
      <c r="F159" s="125">
        <f t="shared" si="116"/>
        <v>0</v>
      </c>
      <c r="G159" s="126">
        <f t="shared" ref="G159:L159" si="117">IFERROR(F159*(1+$D$18),"")</f>
        <v>0</v>
      </c>
      <c r="H159" s="126">
        <f t="shared" si="117"/>
        <v>0</v>
      </c>
      <c r="I159" s="126">
        <f t="shared" si="117"/>
        <v>0</v>
      </c>
      <c r="J159" s="126">
        <f t="shared" si="117"/>
        <v>0</v>
      </c>
      <c r="K159" s="126">
        <f t="shared" si="117"/>
        <v>0</v>
      </c>
      <c r="L159" s="126">
        <f t="shared" si="117"/>
        <v>0</v>
      </c>
      <c r="M159" s="50"/>
      <c r="N159" s="50"/>
      <c r="O159" s="50"/>
      <c r="P159" s="115"/>
      <c r="Q159" s="50"/>
      <c r="R159" s="50"/>
      <c r="S159" s="50"/>
      <c r="T159" s="50"/>
      <c r="U159" s="50"/>
      <c r="V159" s="50"/>
      <c r="W159" s="50"/>
      <c r="X159" s="50"/>
      <c r="Y159" s="50"/>
      <c r="Z159" s="50"/>
    </row>
    <row r="160" spans="1:26" ht="15.75" customHeight="1" x14ac:dyDescent="0.35">
      <c r="A160" s="50"/>
      <c r="B160" s="53" t="s">
        <v>158</v>
      </c>
      <c r="C160" s="116"/>
      <c r="D160" s="125">
        <f t="shared" ref="D160:F160" si="118">D53</f>
        <v>0</v>
      </c>
      <c r="E160" s="125">
        <f t="shared" si="118"/>
        <v>0</v>
      </c>
      <c r="F160" s="125">
        <f t="shared" si="118"/>
        <v>0</v>
      </c>
      <c r="G160" s="126">
        <f t="shared" ref="G160:P160" si="119">IFERROR(F160*(1+$D$18),"")</f>
        <v>0</v>
      </c>
      <c r="H160" s="126">
        <f t="shared" si="119"/>
        <v>0</v>
      </c>
      <c r="I160" s="126">
        <f t="shared" si="119"/>
        <v>0</v>
      </c>
      <c r="J160" s="126">
        <f t="shared" si="119"/>
        <v>0</v>
      </c>
      <c r="K160" s="126">
        <f t="shared" si="119"/>
        <v>0</v>
      </c>
      <c r="L160" s="126">
        <f t="shared" si="119"/>
        <v>0</v>
      </c>
      <c r="M160" s="126">
        <f t="shared" si="119"/>
        <v>0</v>
      </c>
      <c r="N160" s="126">
        <f t="shared" si="119"/>
        <v>0</v>
      </c>
      <c r="O160" s="126">
        <f t="shared" si="119"/>
        <v>0</v>
      </c>
      <c r="P160" s="127">
        <f t="shared" si="119"/>
        <v>0</v>
      </c>
      <c r="Q160" s="50"/>
      <c r="R160" s="50"/>
      <c r="S160" s="50"/>
      <c r="T160" s="50"/>
      <c r="U160" s="50"/>
      <c r="V160" s="50"/>
      <c r="W160" s="50"/>
      <c r="X160" s="50"/>
      <c r="Y160" s="50"/>
      <c r="Z160" s="50"/>
    </row>
    <row r="161" spans="1:26" ht="15.75" customHeight="1" x14ac:dyDescent="0.35">
      <c r="A161" s="50"/>
      <c r="B161" s="169"/>
      <c r="C161" s="50"/>
      <c r="D161" s="32"/>
      <c r="E161" s="32"/>
      <c r="F161" s="32"/>
      <c r="G161" s="50"/>
      <c r="H161" s="50"/>
      <c r="I161" s="50"/>
      <c r="J161" s="50"/>
      <c r="K161" s="50"/>
      <c r="L161" s="50"/>
      <c r="M161" s="50"/>
      <c r="N161" s="50"/>
      <c r="O161" s="50"/>
      <c r="P161" s="115"/>
      <c r="Q161" s="50"/>
      <c r="R161" s="50"/>
      <c r="S161" s="50"/>
      <c r="T161" s="50"/>
      <c r="U161" s="50"/>
      <c r="V161" s="50"/>
      <c r="W161" s="50"/>
      <c r="X161" s="50"/>
      <c r="Y161" s="50"/>
      <c r="Z161" s="50"/>
    </row>
    <row r="162" spans="1:26" ht="15.75" customHeight="1" x14ac:dyDescent="0.35">
      <c r="A162" s="50"/>
      <c r="B162" s="62" t="s">
        <v>135</v>
      </c>
      <c r="C162" s="50"/>
      <c r="D162" s="32"/>
      <c r="E162" s="32"/>
      <c r="F162" s="32"/>
      <c r="G162" s="50"/>
      <c r="H162" s="50"/>
      <c r="I162" s="50"/>
      <c r="J162" s="50"/>
      <c r="K162" s="50"/>
      <c r="L162" s="50"/>
      <c r="M162" s="50"/>
      <c r="N162" s="50"/>
      <c r="O162" s="50"/>
      <c r="P162" s="115"/>
      <c r="Q162" s="50"/>
      <c r="R162" s="50"/>
      <c r="S162" s="50"/>
      <c r="T162" s="50"/>
      <c r="U162" s="50"/>
      <c r="V162" s="50"/>
      <c r="W162" s="50"/>
      <c r="X162" s="50"/>
      <c r="Y162" s="50"/>
      <c r="Z162" s="50"/>
    </row>
    <row r="163" spans="1:26" ht="15.75" customHeight="1" x14ac:dyDescent="0.35">
      <c r="A163" s="50"/>
      <c r="B163" s="53" t="s">
        <v>145</v>
      </c>
      <c r="C163" s="50"/>
      <c r="D163" s="125">
        <f t="shared" ref="D163:P163" si="120">IFERROR(D115-D147,"")</f>
        <v>12.39108446510869</v>
      </c>
      <c r="E163" s="125">
        <f t="shared" si="120"/>
        <v>11.975148833906822</v>
      </c>
      <c r="F163" s="125">
        <f t="shared" si="120"/>
        <v>11.714223118043995</v>
      </c>
      <c r="G163" s="126">
        <f t="shared" si="120"/>
        <v>11.927567259661734</v>
      </c>
      <c r="H163" s="126">
        <f t="shared" si="120"/>
        <v>12.14304484269565</v>
      </c>
      <c r="I163" s="126">
        <f t="shared" si="120"/>
        <v>12.360677201559904</v>
      </c>
      <c r="J163" s="126">
        <f t="shared" si="120"/>
        <v>12.5804858840128</v>
      </c>
      <c r="K163" s="126">
        <f t="shared" si="120"/>
        <v>12.802492653290225</v>
      </c>
      <c r="L163" s="126">
        <f t="shared" si="120"/>
        <v>13.026719490260424</v>
      </c>
      <c r="M163" s="126">
        <f t="shared" si="120"/>
        <v>13.253188595600326</v>
      </c>
      <c r="N163" s="126">
        <f t="shared" si="120"/>
        <v>13.481922391993626</v>
      </c>
      <c r="O163" s="126">
        <f t="shared" si="120"/>
        <v>13.712943526350861</v>
      </c>
      <c r="P163" s="127">
        <f t="shared" si="120"/>
        <v>13.946274872051665</v>
      </c>
      <c r="Q163" s="50"/>
      <c r="R163" s="50"/>
      <c r="S163" s="50"/>
      <c r="T163" s="50"/>
      <c r="U163" s="50"/>
      <c r="V163" s="50"/>
      <c r="W163" s="50"/>
      <c r="X163" s="50"/>
      <c r="Y163" s="50"/>
      <c r="Z163" s="50"/>
    </row>
    <row r="164" spans="1:26" ht="15.75" customHeight="1" x14ac:dyDescent="0.35">
      <c r="A164" s="50"/>
      <c r="B164" s="53" t="s">
        <v>146</v>
      </c>
      <c r="C164" s="50"/>
      <c r="D164" s="125">
        <f t="shared" ref="D164:P164" si="121">IFERROR(D116-D148,"")</f>
        <v>58.729471674092935</v>
      </c>
      <c r="E164" s="125">
        <f t="shared" si="121"/>
        <v>60.512741312741312</v>
      </c>
      <c r="F164" s="125">
        <f t="shared" si="121"/>
        <v>59.030188679245292</v>
      </c>
      <c r="G164" s="126">
        <f t="shared" si="121"/>
        <v>60.158188679245292</v>
      </c>
      <c r="H164" s="126">
        <f t="shared" si="121"/>
        <v>61.297468679245291</v>
      </c>
      <c r="I164" s="126">
        <f t="shared" si="121"/>
        <v>62.448141479245287</v>
      </c>
      <c r="J164" s="126">
        <f t="shared" si="121"/>
        <v>63.610321007245282</v>
      </c>
      <c r="K164" s="126">
        <f t="shared" si="121"/>
        <v>64.784122330525292</v>
      </c>
      <c r="L164" s="126">
        <f t="shared" si="121"/>
        <v>65.969661667038082</v>
      </c>
      <c r="M164" s="126">
        <f t="shared" si="121"/>
        <v>67.167056396916024</v>
      </c>
      <c r="N164" s="126">
        <f t="shared" si="121"/>
        <v>68.376425074092737</v>
      </c>
      <c r="O164" s="126">
        <f t="shared" si="121"/>
        <v>69.597887438041198</v>
      </c>
      <c r="P164" s="127">
        <f t="shared" si="121"/>
        <v>70.831564425629153</v>
      </c>
      <c r="Q164" s="50"/>
      <c r="R164" s="50"/>
      <c r="S164" s="50"/>
      <c r="T164" s="50"/>
      <c r="U164" s="50"/>
      <c r="V164" s="50"/>
      <c r="W164" s="50"/>
      <c r="X164" s="50"/>
      <c r="Y164" s="50"/>
      <c r="Z164" s="50"/>
    </row>
    <row r="165" spans="1:26" ht="15.75" customHeight="1" x14ac:dyDescent="0.35">
      <c r="A165" s="50"/>
      <c r="B165" s="53" t="s">
        <v>147</v>
      </c>
      <c r="C165" s="50"/>
      <c r="D165" s="125">
        <f t="shared" ref="D165:P165" si="122">IFERROR(D117-D149,"")</f>
        <v>76.637323943661954</v>
      </c>
      <c r="E165" s="125">
        <f t="shared" si="122"/>
        <v>126.344696969697</v>
      </c>
      <c r="F165" s="125">
        <f t="shared" si="122"/>
        <v>146.04706853839798</v>
      </c>
      <c r="G165" s="126">
        <f t="shared" si="122"/>
        <v>151.40480594549956</v>
      </c>
      <c r="H165" s="126">
        <f t="shared" si="122"/>
        <v>156.81612072667212</v>
      </c>
      <c r="I165" s="126">
        <f t="shared" si="122"/>
        <v>162.28154865565648</v>
      </c>
      <c r="J165" s="126">
        <f t="shared" si="122"/>
        <v>167.80163086393065</v>
      </c>
      <c r="K165" s="126">
        <f t="shared" si="122"/>
        <v>173.37691389428755</v>
      </c>
      <c r="L165" s="126">
        <f t="shared" si="122"/>
        <v>179.00794975494807</v>
      </c>
      <c r="M165" s="126">
        <f t="shared" si="122"/>
        <v>184.69529597421513</v>
      </c>
      <c r="N165" s="126">
        <f t="shared" si="122"/>
        <v>190.43951565567488</v>
      </c>
      <c r="O165" s="126">
        <f t="shared" si="122"/>
        <v>196.24117753394921</v>
      </c>
      <c r="P165" s="127">
        <f t="shared" si="122"/>
        <v>202.10085603100629</v>
      </c>
      <c r="Q165" s="50"/>
      <c r="R165" s="50"/>
      <c r="S165" s="50"/>
      <c r="T165" s="50"/>
      <c r="U165" s="50"/>
      <c r="V165" s="50"/>
      <c r="W165" s="50"/>
      <c r="X165" s="50"/>
      <c r="Y165" s="50"/>
      <c r="Z165" s="50"/>
    </row>
    <row r="166" spans="1:26" ht="15.75" customHeight="1" x14ac:dyDescent="0.35">
      <c r="A166" s="50"/>
      <c r="B166" s="53" t="s">
        <v>148</v>
      </c>
      <c r="C166" s="50"/>
      <c r="D166" s="125">
        <f t="shared" ref="D166:P166" si="123">IFERROR(D118-D150,"")</f>
        <v>0</v>
      </c>
      <c r="E166" s="125">
        <f t="shared" si="123"/>
        <v>0</v>
      </c>
      <c r="F166" s="125">
        <f t="shared" si="123"/>
        <v>1065</v>
      </c>
      <c r="G166" s="126">
        <f t="shared" si="123"/>
        <v>1075.6500000000001</v>
      </c>
      <c r="H166" s="126">
        <f t="shared" si="123"/>
        <v>1086.4065000000001</v>
      </c>
      <c r="I166" s="126">
        <f t="shared" si="123"/>
        <v>1097.270565</v>
      </c>
      <c r="J166" s="126">
        <f t="shared" si="123"/>
        <v>1108.2432706500001</v>
      </c>
      <c r="K166" s="126">
        <f t="shared" si="123"/>
        <v>1119.3257033565001</v>
      </c>
      <c r="L166" s="126">
        <f t="shared" si="123"/>
        <v>1130.5189603900651</v>
      </c>
      <c r="M166" s="126">
        <f t="shared" si="123"/>
        <v>1141.8241499939659</v>
      </c>
      <c r="N166" s="126">
        <f t="shared" si="123"/>
        <v>1153.2423914939056</v>
      </c>
      <c r="O166" s="126">
        <f t="shared" si="123"/>
        <v>1164.7748154088447</v>
      </c>
      <c r="P166" s="127">
        <f t="shared" si="123"/>
        <v>1176.4225635629332</v>
      </c>
      <c r="Q166" s="50"/>
      <c r="R166" s="50"/>
      <c r="S166" s="50"/>
      <c r="T166" s="50"/>
      <c r="U166" s="50"/>
      <c r="V166" s="50"/>
      <c r="W166" s="50"/>
      <c r="X166" s="50"/>
      <c r="Y166" s="50"/>
      <c r="Z166" s="50"/>
    </row>
    <row r="167" spans="1:26" ht="15.75" customHeight="1" x14ac:dyDescent="0.35">
      <c r="A167" s="50"/>
      <c r="B167" s="53" t="s">
        <v>149</v>
      </c>
      <c r="C167" s="50"/>
      <c r="D167" s="125">
        <f t="shared" ref="D167:P167" si="124">IFERROR(D119-D151,"")</f>
        <v>139.53640552995392</v>
      </c>
      <c r="E167" s="125">
        <f t="shared" si="124"/>
        <v>142.13649851632044</v>
      </c>
      <c r="F167" s="125">
        <f t="shared" si="124"/>
        <v>182.40143369175627</v>
      </c>
      <c r="G167" s="126">
        <f t="shared" si="124"/>
        <v>187.12100358422941</v>
      </c>
      <c r="H167" s="126">
        <f t="shared" si="124"/>
        <v>191.88776917562728</v>
      </c>
      <c r="I167" s="126">
        <f t="shared" si="124"/>
        <v>196.70220242293914</v>
      </c>
      <c r="J167" s="126">
        <f t="shared" si="124"/>
        <v>201.56478000272409</v>
      </c>
      <c r="K167" s="126">
        <f t="shared" si="124"/>
        <v>206.47598335830691</v>
      </c>
      <c r="L167" s="126">
        <f t="shared" si="124"/>
        <v>211.43629874744556</v>
      </c>
      <c r="M167" s="126">
        <f t="shared" si="124"/>
        <v>216.4462172904756</v>
      </c>
      <c r="N167" s="126">
        <f t="shared" si="124"/>
        <v>221.50623501893591</v>
      </c>
      <c r="O167" s="126">
        <f t="shared" si="124"/>
        <v>226.61685292468087</v>
      </c>
      <c r="P167" s="127">
        <f t="shared" si="124"/>
        <v>231.77857700948323</v>
      </c>
      <c r="Q167" s="50"/>
      <c r="R167" s="50"/>
      <c r="S167" s="50"/>
      <c r="T167" s="50"/>
      <c r="U167" s="50"/>
      <c r="V167" s="50"/>
      <c r="W167" s="50"/>
      <c r="X167" s="50"/>
      <c r="Y167" s="50"/>
      <c r="Z167" s="50"/>
    </row>
    <row r="168" spans="1:26" ht="15.75" customHeight="1" x14ac:dyDescent="0.35">
      <c r="A168" s="50"/>
      <c r="B168" s="53" t="s">
        <v>198</v>
      </c>
      <c r="C168" s="50"/>
      <c r="D168" s="125">
        <f t="shared" ref="D168:P168" si="125">IFERROR(D120-D152,"")</f>
        <v>23.047510278666056</v>
      </c>
      <c r="E168" s="125">
        <f t="shared" si="125"/>
        <v>24.449074074074073</v>
      </c>
      <c r="F168" s="125">
        <f t="shared" si="125"/>
        <v>23.842315369261474</v>
      </c>
      <c r="G168" s="126">
        <f t="shared" si="125"/>
        <v>24.283752495009974</v>
      </c>
      <c r="H168" s="126">
        <f t="shared" si="125"/>
        <v>24.729603992015964</v>
      </c>
      <c r="I168" s="126">
        <f t="shared" si="125"/>
        <v>25.179914003992014</v>
      </c>
      <c r="J168" s="126">
        <f t="shared" si="125"/>
        <v>25.63472711608782</v>
      </c>
      <c r="K168" s="126">
        <f t="shared" si="125"/>
        <v>26.094088359304589</v>
      </c>
      <c r="L168" s="126">
        <f t="shared" si="125"/>
        <v>26.558043214953525</v>
      </c>
      <c r="M168" s="126">
        <f t="shared" si="125"/>
        <v>27.026637619158951</v>
      </c>
      <c r="N168" s="126">
        <f t="shared" si="125"/>
        <v>27.499917967406429</v>
      </c>
      <c r="O168" s="126">
        <f t="shared" si="125"/>
        <v>27.977931119136382</v>
      </c>
      <c r="P168" s="127">
        <f t="shared" si="125"/>
        <v>28.460724402383637</v>
      </c>
      <c r="Q168" s="50"/>
      <c r="R168" s="50"/>
      <c r="S168" s="50"/>
      <c r="T168" s="50"/>
      <c r="U168" s="50"/>
      <c r="V168" s="50"/>
      <c r="W168" s="50"/>
      <c r="X168" s="50"/>
      <c r="Y168" s="50"/>
      <c r="Z168" s="50"/>
    </row>
    <row r="169" spans="1:26" ht="15.75" customHeight="1" x14ac:dyDescent="0.35">
      <c r="A169" s="50"/>
      <c r="B169" s="53" t="s">
        <v>199</v>
      </c>
      <c r="C169" s="50"/>
      <c r="D169" s="125">
        <f t="shared" ref="D169:P169" si="126">IFERROR(D121-D153,"")</f>
        <v>29.858974358974358</v>
      </c>
      <c r="E169" s="125">
        <f t="shared" si="126"/>
        <v>30.833333333333329</v>
      </c>
      <c r="F169" s="125">
        <f t="shared" si="126"/>
        <v>33.435714285714283</v>
      </c>
      <c r="G169" s="126">
        <f t="shared" si="126"/>
        <v>34.01192857142857</v>
      </c>
      <c r="H169" s="126">
        <f t="shared" si="126"/>
        <v>34.593904999999992</v>
      </c>
      <c r="I169" s="126">
        <f t="shared" si="126"/>
        <v>35.181701192857133</v>
      </c>
      <c r="J169" s="126">
        <f t="shared" si="126"/>
        <v>35.77537534764285</v>
      </c>
      <c r="K169" s="126">
        <f t="shared" si="126"/>
        <v>36.374986243976423</v>
      </c>
      <c r="L169" s="126">
        <f t="shared" si="126"/>
        <v>36.98059324927334</v>
      </c>
      <c r="M169" s="126">
        <f t="shared" si="126"/>
        <v>37.592256324623207</v>
      </c>
      <c r="N169" s="126">
        <f t="shared" si="126"/>
        <v>38.210036030726584</v>
      </c>
      <c r="O169" s="126">
        <f t="shared" si="126"/>
        <v>38.833993533891004</v>
      </c>
      <c r="P169" s="127">
        <f t="shared" si="126"/>
        <v>39.464190612087052</v>
      </c>
      <c r="Q169" s="50"/>
      <c r="R169" s="50"/>
      <c r="S169" s="50"/>
      <c r="T169" s="50"/>
      <c r="U169" s="50"/>
      <c r="V169" s="50"/>
      <c r="W169" s="50"/>
      <c r="X169" s="50"/>
      <c r="Y169" s="50"/>
      <c r="Z169" s="50"/>
    </row>
    <row r="170" spans="1:26" ht="15.75" customHeight="1" x14ac:dyDescent="0.35">
      <c r="A170" s="50"/>
      <c r="B170" s="53" t="s">
        <v>152</v>
      </c>
      <c r="C170" s="50"/>
      <c r="D170" s="125">
        <f t="shared" ref="D170:P170" si="127">IFERROR(D122-D154,"")</f>
        <v>0</v>
      </c>
      <c r="E170" s="125">
        <f t="shared" si="127"/>
        <v>0</v>
      </c>
      <c r="F170" s="125">
        <f t="shared" si="127"/>
        <v>0</v>
      </c>
      <c r="G170" s="126">
        <f t="shared" si="127"/>
        <v>0.18578947368420984</v>
      </c>
      <c r="H170" s="126">
        <f t="shared" si="127"/>
        <v>0.37343684210526362</v>
      </c>
      <c r="I170" s="126">
        <f t="shared" si="127"/>
        <v>0.56296068421052681</v>
      </c>
      <c r="J170" s="126">
        <f t="shared" si="127"/>
        <v>0.75437976473684287</v>
      </c>
      <c r="K170" s="126">
        <f t="shared" si="127"/>
        <v>0.94771303606842139</v>
      </c>
      <c r="L170" s="126">
        <f t="shared" si="127"/>
        <v>1.1429796401133174</v>
      </c>
      <c r="M170" s="126">
        <f t="shared" si="127"/>
        <v>1.3401989101986622</v>
      </c>
      <c r="N170" s="126">
        <f t="shared" si="127"/>
        <v>1.5393903729848581</v>
      </c>
      <c r="O170" s="126">
        <f t="shared" si="127"/>
        <v>1.7405737503989158</v>
      </c>
      <c r="P170" s="127">
        <f t="shared" si="127"/>
        <v>1.9437689615871143</v>
      </c>
      <c r="Q170" s="50"/>
      <c r="R170" s="50"/>
      <c r="S170" s="50"/>
      <c r="T170" s="50"/>
      <c r="U170" s="50"/>
      <c r="V170" s="50"/>
      <c r="W170" s="50"/>
      <c r="X170" s="50"/>
      <c r="Y170" s="50"/>
      <c r="Z170" s="50"/>
    </row>
    <row r="171" spans="1:26" ht="15.75" customHeight="1" x14ac:dyDescent="0.35">
      <c r="A171" s="50"/>
      <c r="B171" s="53" t="s">
        <v>153</v>
      </c>
      <c r="C171" s="50"/>
      <c r="D171" s="125">
        <f t="shared" ref="D171:P171" si="128">IFERROR(D123-D155,"")</f>
        <v>-0.50588911232404499</v>
      </c>
      <c r="E171" s="125">
        <f t="shared" si="128"/>
        <v>-0.71391529818496124</v>
      </c>
      <c r="F171" s="125">
        <f t="shared" si="128"/>
        <v>2.4166666666666661</v>
      </c>
      <c r="G171" s="126">
        <f t="shared" si="128"/>
        <v>2.5766666666666662</v>
      </c>
      <c r="H171" s="126">
        <f t="shared" si="128"/>
        <v>2.7382666666666662</v>
      </c>
      <c r="I171" s="126">
        <f t="shared" si="128"/>
        <v>2.9014826666666647</v>
      </c>
      <c r="J171" s="126">
        <f t="shared" si="128"/>
        <v>3.0663308266666665</v>
      </c>
      <c r="K171" s="126">
        <f t="shared" si="128"/>
        <v>3.2328274682666649</v>
      </c>
      <c r="L171" s="126">
        <f t="shared" si="128"/>
        <v>3.4009890762826647</v>
      </c>
      <c r="M171" s="126">
        <f t="shared" si="128"/>
        <v>3.5708323003788234</v>
      </c>
      <c r="N171" s="126">
        <f t="shared" si="128"/>
        <v>3.7423739567159462</v>
      </c>
      <c r="O171" s="126">
        <f t="shared" si="128"/>
        <v>3.9156310296164403</v>
      </c>
      <c r="P171" s="127">
        <f t="shared" si="128"/>
        <v>4.0906206732459385</v>
      </c>
      <c r="Q171" s="50"/>
      <c r="R171" s="50"/>
      <c r="S171" s="50"/>
      <c r="T171" s="50"/>
      <c r="U171" s="50"/>
      <c r="V171" s="50"/>
      <c r="W171" s="50"/>
      <c r="X171" s="50"/>
      <c r="Y171" s="50"/>
      <c r="Z171" s="50"/>
    </row>
    <row r="172" spans="1:26" ht="15.75" customHeight="1" x14ac:dyDescent="0.35">
      <c r="A172" s="50"/>
      <c r="B172" s="53" t="s">
        <v>154</v>
      </c>
      <c r="C172" s="50"/>
      <c r="D172" s="125">
        <f t="shared" ref="D172:P172" si="129">IFERROR(D124-D156,"")</f>
        <v>0</v>
      </c>
      <c r="E172" s="125">
        <f t="shared" si="129"/>
        <v>0</v>
      </c>
      <c r="F172" s="125">
        <f t="shared" si="129"/>
        <v>0</v>
      </c>
      <c r="G172" s="126">
        <f t="shared" si="129"/>
        <v>0</v>
      </c>
      <c r="H172" s="126">
        <f t="shared" si="129"/>
        <v>0</v>
      </c>
      <c r="I172" s="126">
        <f t="shared" si="129"/>
        <v>0</v>
      </c>
      <c r="J172" s="126">
        <f t="shared" si="129"/>
        <v>0</v>
      </c>
      <c r="K172" s="126">
        <f t="shared" si="129"/>
        <v>0</v>
      </c>
      <c r="L172" s="126">
        <f t="shared" si="129"/>
        <v>0</v>
      </c>
      <c r="M172" s="126">
        <f t="shared" si="129"/>
        <v>0</v>
      </c>
      <c r="N172" s="126">
        <f t="shared" si="129"/>
        <v>0</v>
      </c>
      <c r="O172" s="126">
        <f t="shared" si="129"/>
        <v>0</v>
      </c>
      <c r="P172" s="127">
        <f t="shared" si="129"/>
        <v>0</v>
      </c>
      <c r="Q172" s="50"/>
      <c r="R172" s="50"/>
      <c r="S172" s="50"/>
      <c r="T172" s="50"/>
      <c r="U172" s="50"/>
      <c r="V172" s="50"/>
      <c r="W172" s="50"/>
      <c r="X172" s="50"/>
      <c r="Y172" s="50"/>
      <c r="Z172" s="50"/>
    </row>
    <row r="173" spans="1:26" ht="15.75" customHeight="1" x14ac:dyDescent="0.35">
      <c r="A173" s="50"/>
      <c r="B173" s="53" t="s">
        <v>155</v>
      </c>
      <c r="C173" s="50"/>
      <c r="D173" s="126">
        <f t="shared" ref="D173:P173" si="130">IFERROR(D125-D157,"")</f>
        <v>0</v>
      </c>
      <c r="E173" s="126">
        <f t="shared" si="130"/>
        <v>0</v>
      </c>
      <c r="F173" s="126">
        <f t="shared" si="130"/>
        <v>0</v>
      </c>
      <c r="G173" s="126">
        <f t="shared" si="130"/>
        <v>0</v>
      </c>
      <c r="H173" s="126">
        <f t="shared" si="130"/>
        <v>0</v>
      </c>
      <c r="I173" s="126">
        <f t="shared" si="130"/>
        <v>0</v>
      </c>
      <c r="J173" s="126">
        <f t="shared" si="130"/>
        <v>0</v>
      </c>
      <c r="K173" s="126">
        <f t="shared" si="130"/>
        <v>0</v>
      </c>
      <c r="L173" s="126">
        <f t="shared" si="130"/>
        <v>0</v>
      </c>
      <c r="M173" s="126">
        <f t="shared" si="130"/>
        <v>0</v>
      </c>
      <c r="N173" s="126">
        <f t="shared" si="130"/>
        <v>0</v>
      </c>
      <c r="O173" s="126">
        <f t="shared" si="130"/>
        <v>0</v>
      </c>
      <c r="P173" s="127">
        <f t="shared" si="130"/>
        <v>0</v>
      </c>
      <c r="Q173" s="50"/>
      <c r="R173" s="50"/>
      <c r="S173" s="50"/>
      <c r="T173" s="50"/>
      <c r="U173" s="50"/>
      <c r="V173" s="50"/>
      <c r="W173" s="50"/>
      <c r="X173" s="50"/>
      <c r="Y173" s="50"/>
      <c r="Z173" s="50"/>
    </row>
    <row r="174" spans="1:26" ht="15.75" customHeight="1" x14ac:dyDescent="0.35">
      <c r="A174" s="50"/>
      <c r="B174" s="53" t="s">
        <v>156</v>
      </c>
      <c r="C174" s="50"/>
      <c r="D174" s="126">
        <f t="shared" ref="D174:P174" si="131">IFERROR(D126-D158,"")</f>
        <v>0</v>
      </c>
      <c r="E174" s="126">
        <f t="shared" si="131"/>
        <v>0</v>
      </c>
      <c r="F174" s="126">
        <f t="shared" si="131"/>
        <v>0</v>
      </c>
      <c r="G174" s="126">
        <f t="shared" si="131"/>
        <v>0</v>
      </c>
      <c r="H174" s="126">
        <f t="shared" si="131"/>
        <v>0</v>
      </c>
      <c r="I174" s="126">
        <f t="shared" si="131"/>
        <v>0</v>
      </c>
      <c r="J174" s="126">
        <f t="shared" si="131"/>
        <v>0</v>
      </c>
      <c r="K174" s="126">
        <f t="shared" si="131"/>
        <v>0</v>
      </c>
      <c r="L174" s="126">
        <f t="shared" si="131"/>
        <v>0</v>
      </c>
      <c r="M174" s="126">
        <f t="shared" si="131"/>
        <v>0</v>
      </c>
      <c r="N174" s="126">
        <f t="shared" si="131"/>
        <v>0</v>
      </c>
      <c r="O174" s="126">
        <f t="shared" si="131"/>
        <v>0</v>
      </c>
      <c r="P174" s="127">
        <f t="shared" si="131"/>
        <v>0</v>
      </c>
      <c r="Q174" s="50"/>
      <c r="R174" s="50"/>
      <c r="S174" s="50"/>
      <c r="T174" s="50"/>
      <c r="U174" s="50"/>
      <c r="V174" s="50"/>
      <c r="W174" s="50"/>
      <c r="X174" s="50"/>
      <c r="Y174" s="50"/>
      <c r="Z174" s="50"/>
    </row>
    <row r="175" spans="1:26" ht="15.75" customHeight="1" x14ac:dyDescent="0.35">
      <c r="A175" s="50"/>
      <c r="B175" s="161" t="s">
        <v>96</v>
      </c>
      <c r="C175" s="50"/>
      <c r="D175" s="126">
        <f t="shared" ref="D175:P175" si="132">IFERROR(D127-D159,"")</f>
        <v>0</v>
      </c>
      <c r="E175" s="126">
        <f t="shared" si="132"/>
        <v>0</v>
      </c>
      <c r="F175" s="126">
        <f t="shared" si="132"/>
        <v>0</v>
      </c>
      <c r="G175" s="126">
        <f t="shared" si="132"/>
        <v>0</v>
      </c>
      <c r="H175" s="126">
        <f t="shared" si="132"/>
        <v>0</v>
      </c>
      <c r="I175" s="126">
        <f t="shared" si="132"/>
        <v>0</v>
      </c>
      <c r="J175" s="126">
        <f t="shared" si="132"/>
        <v>0</v>
      </c>
      <c r="K175" s="126">
        <f t="shared" si="132"/>
        <v>0</v>
      </c>
      <c r="L175" s="126">
        <f t="shared" si="132"/>
        <v>0</v>
      </c>
      <c r="M175" s="126">
        <f t="shared" si="132"/>
        <v>0</v>
      </c>
      <c r="N175" s="126">
        <f t="shared" si="132"/>
        <v>0</v>
      </c>
      <c r="O175" s="126">
        <f t="shared" si="132"/>
        <v>0</v>
      </c>
      <c r="P175" s="127">
        <f t="shared" si="132"/>
        <v>0</v>
      </c>
      <c r="Q175" s="50"/>
      <c r="R175" s="50"/>
      <c r="S175" s="50"/>
      <c r="T175" s="50"/>
      <c r="U175" s="50"/>
      <c r="V175" s="50"/>
      <c r="W175" s="50"/>
      <c r="X175" s="50"/>
      <c r="Y175" s="50"/>
      <c r="Z175" s="50"/>
    </row>
    <row r="176" spans="1:26" ht="15.75" customHeight="1" x14ac:dyDescent="0.35">
      <c r="A176" s="50"/>
      <c r="B176" s="53" t="s">
        <v>158</v>
      </c>
      <c r="C176" s="50"/>
      <c r="D176" s="126">
        <f t="shared" ref="D176:P176" si="133">IFERROR(D128-D160,"")</f>
        <v>0</v>
      </c>
      <c r="E176" s="126">
        <f t="shared" si="133"/>
        <v>0</v>
      </c>
      <c r="F176" s="126">
        <f t="shared" si="133"/>
        <v>0</v>
      </c>
      <c r="G176" s="126">
        <f t="shared" si="133"/>
        <v>0</v>
      </c>
      <c r="H176" s="126">
        <f t="shared" si="133"/>
        <v>0</v>
      </c>
      <c r="I176" s="126">
        <f t="shared" si="133"/>
        <v>0</v>
      </c>
      <c r="J176" s="126">
        <f t="shared" si="133"/>
        <v>0</v>
      </c>
      <c r="K176" s="126">
        <f t="shared" si="133"/>
        <v>0</v>
      </c>
      <c r="L176" s="126">
        <f t="shared" si="133"/>
        <v>0</v>
      </c>
      <c r="M176" s="126">
        <f t="shared" si="133"/>
        <v>0</v>
      </c>
      <c r="N176" s="126">
        <f t="shared" si="133"/>
        <v>0</v>
      </c>
      <c r="O176" s="126">
        <f t="shared" si="133"/>
        <v>0</v>
      </c>
      <c r="P176" s="127">
        <f t="shared" si="133"/>
        <v>0</v>
      </c>
      <c r="Q176" s="50"/>
      <c r="R176" s="50"/>
      <c r="S176" s="50"/>
      <c r="T176" s="50"/>
      <c r="U176" s="50"/>
      <c r="V176" s="50"/>
      <c r="W176" s="50"/>
      <c r="X176" s="50"/>
      <c r="Y176" s="50"/>
      <c r="Z176" s="50"/>
    </row>
    <row r="177" spans="1:26" ht="15.75" customHeight="1" x14ac:dyDescent="0.35">
      <c r="A177" s="50"/>
      <c r="B177" s="169"/>
      <c r="C177" s="50"/>
      <c r="D177" s="50"/>
      <c r="E177" s="50"/>
      <c r="F177" s="50"/>
      <c r="G177" s="50"/>
      <c r="H177" s="50"/>
      <c r="I177" s="50"/>
      <c r="J177" s="50"/>
      <c r="K177" s="50"/>
      <c r="L177" s="50"/>
      <c r="M177" s="50"/>
      <c r="N177" s="50"/>
      <c r="O177" s="50"/>
      <c r="P177" s="115"/>
      <c r="Q177" s="50"/>
      <c r="R177" s="50"/>
      <c r="S177" s="50"/>
      <c r="T177" s="50"/>
      <c r="U177" s="50"/>
      <c r="V177" s="50"/>
      <c r="W177" s="50"/>
      <c r="X177" s="50"/>
      <c r="Y177" s="50"/>
      <c r="Z177" s="50"/>
    </row>
    <row r="178" spans="1:26" ht="15.75" customHeight="1" x14ac:dyDescent="0.35">
      <c r="A178" s="50"/>
      <c r="B178" s="46" t="s">
        <v>219</v>
      </c>
      <c r="C178" s="50"/>
      <c r="D178" s="50"/>
      <c r="E178" s="50"/>
      <c r="F178" s="50"/>
      <c r="G178" s="50"/>
      <c r="H178" s="50"/>
      <c r="I178" s="50"/>
      <c r="J178" s="50"/>
      <c r="K178" s="50"/>
      <c r="L178" s="50"/>
      <c r="M178" s="50"/>
      <c r="N178" s="50"/>
      <c r="O178" s="50"/>
      <c r="P178" s="115"/>
      <c r="Q178" s="50"/>
      <c r="R178" s="50"/>
      <c r="S178" s="50"/>
      <c r="T178" s="50"/>
      <c r="U178" s="50"/>
      <c r="V178" s="50"/>
      <c r="W178" s="50"/>
      <c r="X178" s="50"/>
      <c r="Y178" s="50"/>
      <c r="Z178" s="50"/>
    </row>
    <row r="179" spans="1:26" ht="15.75" customHeight="1" x14ac:dyDescent="0.35">
      <c r="A179" s="50"/>
      <c r="B179" s="53" t="s">
        <v>145</v>
      </c>
      <c r="C179" s="50"/>
      <c r="D179" s="64">
        <f t="shared" ref="D179:P179" si="134">IFERROR(D131*D163,"")+IFERROR(((D131*D147)*$D$19),"")</f>
        <v>304996.17</v>
      </c>
      <c r="E179" s="64">
        <f t="shared" si="134"/>
        <v>220113.03</v>
      </c>
      <c r="F179" s="64">
        <f t="shared" si="134"/>
        <v>268439.76000000007</v>
      </c>
      <c r="G179" s="64">
        <f t="shared" si="134"/>
        <v>286974.13500000013</v>
      </c>
      <c r="H179" s="64">
        <f t="shared" si="134"/>
        <v>306744.52816350019</v>
      </c>
      <c r="I179" s="64">
        <f t="shared" si="134"/>
        <v>327831.45301319193</v>
      </c>
      <c r="J179" s="64">
        <f t="shared" si="134"/>
        <v>350320.58086108009</v>
      </c>
      <c r="K179" s="64">
        <f t="shared" si="134"/>
        <v>374303.06719079491</v>
      </c>
      <c r="L179" s="64">
        <f t="shared" si="134"/>
        <v>399875.89850283851</v>
      </c>
      <c r="M179" s="64">
        <f t="shared" si="134"/>
        <v>427142.26089661074</v>
      </c>
      <c r="N179" s="64">
        <f t="shared" si="134"/>
        <v>456211.93174192368</v>
      </c>
      <c r="O179" s="64">
        <f t="shared" si="134"/>
        <v>487201.69587643159</v>
      </c>
      <c r="P179" s="122">
        <f t="shared" si="134"/>
        <v>520235.78785428323</v>
      </c>
      <c r="Q179" s="50"/>
      <c r="R179" s="50"/>
      <c r="S179" s="50"/>
      <c r="T179" s="50"/>
      <c r="U179" s="50"/>
      <c r="V179" s="50"/>
      <c r="W179" s="50"/>
      <c r="X179" s="50"/>
      <c r="Y179" s="50"/>
      <c r="Z179" s="50"/>
    </row>
    <row r="180" spans="1:26" ht="15.75" customHeight="1" x14ac:dyDescent="0.35">
      <c r="A180" s="50"/>
      <c r="B180" s="53" t="s">
        <v>146</v>
      </c>
      <c r="C180" s="50"/>
      <c r="D180" s="64">
        <f t="shared" ref="D180:P180" si="135">IFERROR(D132*D164,"")+IFERROR(((D132*D148)*$D$19),"")</f>
        <v>92688.72</v>
      </c>
      <c r="E180" s="64">
        <f t="shared" si="135"/>
        <v>78702.559999999998</v>
      </c>
      <c r="F180" s="64">
        <f t="shared" si="135"/>
        <v>47142.735000000008</v>
      </c>
      <c r="G180" s="64">
        <f t="shared" si="135"/>
        <v>50441.469750000011</v>
      </c>
      <c r="H180" s="64">
        <f t="shared" si="135"/>
        <v>53962.107916500012</v>
      </c>
      <c r="I180" s="64">
        <f t="shared" si="135"/>
        <v>57719.191154404507</v>
      </c>
      <c r="J180" s="64">
        <f t="shared" si="135"/>
        <v>61728.196713650039</v>
      </c>
      <c r="K180" s="64">
        <f t="shared" si="135"/>
        <v>66005.596833950141</v>
      </c>
      <c r="L180" s="64">
        <f t="shared" si="135"/>
        <v>70568.921872484585</v>
      </c>
      <c r="M180" s="64">
        <f t="shared" si="135"/>
        <v>75436.827397354442</v>
      </c>
      <c r="N180" s="64">
        <f t="shared" si="135"/>
        <v>80629.165494058136</v>
      </c>
      <c r="O180" s="64">
        <f t="shared" si="135"/>
        <v>86167.060547570538</v>
      </c>
      <c r="P180" s="122">
        <f t="shared" si="135"/>
        <v>92072.989778876567</v>
      </c>
      <c r="Q180" s="50"/>
      <c r="R180" s="50"/>
      <c r="S180" s="50"/>
      <c r="T180" s="50"/>
      <c r="U180" s="50"/>
      <c r="V180" s="50"/>
      <c r="W180" s="50"/>
      <c r="X180" s="50"/>
      <c r="Y180" s="50"/>
      <c r="Z180" s="50"/>
    </row>
    <row r="181" spans="1:26" ht="15.75" customHeight="1" x14ac:dyDescent="0.35">
      <c r="A181" s="50"/>
      <c r="B181" s="53" t="s">
        <v>147</v>
      </c>
      <c r="C181" s="50"/>
      <c r="D181" s="64">
        <f t="shared" ref="D181:P181" si="136">IFERROR(D133*D165,"")+IFERROR(((D133*D149)*$D$19),"")</f>
        <v>66840.154999999984</v>
      </c>
      <c r="E181" s="64">
        <f t="shared" si="136"/>
        <v>135555.37000000002</v>
      </c>
      <c r="F181" s="64">
        <f t="shared" si="136"/>
        <v>179222.79499999995</v>
      </c>
      <c r="G181" s="64">
        <f t="shared" si="136"/>
        <v>194996.56574999995</v>
      </c>
      <c r="H181" s="64">
        <f t="shared" si="136"/>
        <v>211971.18921299995</v>
      </c>
      <c r="I181" s="64">
        <f t="shared" si="136"/>
        <v>230231.64395726778</v>
      </c>
      <c r="J181" s="64">
        <f t="shared" si="136"/>
        <v>249868.66610340786</v>
      </c>
      <c r="K181" s="64">
        <f t="shared" si="136"/>
        <v>270979.12847372558</v>
      </c>
      <c r="L181" s="64">
        <f t="shared" si="136"/>
        <v>293666.44422100071</v>
      </c>
      <c r="M181" s="64">
        <f t="shared" si="136"/>
        <v>318040.99649471667</v>
      </c>
      <c r="N181" s="64">
        <f t="shared" si="136"/>
        <v>344220.59580090974</v>
      </c>
      <c r="O181" s="64">
        <f t="shared" si="136"/>
        <v>372330.96681604057</v>
      </c>
      <c r="P181" s="122">
        <f t="shared" si="136"/>
        <v>402506.26652604563</v>
      </c>
      <c r="Q181" s="50"/>
      <c r="R181" s="50"/>
      <c r="S181" s="50"/>
      <c r="T181" s="50"/>
      <c r="U181" s="50"/>
      <c r="V181" s="50"/>
      <c r="W181" s="50"/>
      <c r="X181" s="50"/>
      <c r="Y181" s="50"/>
      <c r="Z181" s="50"/>
    </row>
    <row r="182" spans="1:26" ht="15.75" customHeight="1" x14ac:dyDescent="0.35">
      <c r="A182" s="50"/>
      <c r="B182" s="53" t="s">
        <v>148</v>
      </c>
      <c r="C182" s="50"/>
      <c r="D182" s="64">
        <f t="shared" ref="D182:P182" si="137">IFERROR(D134*D166,"")+IFERROR(((D134*D150)*$D$19),"")</f>
        <v>0</v>
      </c>
      <c r="E182" s="64">
        <f t="shared" si="137"/>
        <v>0</v>
      </c>
      <c r="F182" s="64">
        <f t="shared" si="137"/>
        <v>6390</v>
      </c>
      <c r="G182" s="64">
        <f t="shared" si="137"/>
        <v>6776.5950000000012</v>
      </c>
      <c r="H182" s="64">
        <f t="shared" si="137"/>
        <v>7186.5789975000016</v>
      </c>
      <c r="I182" s="64">
        <f t="shared" si="137"/>
        <v>7621.3670268487513</v>
      </c>
      <c r="J182" s="64">
        <f t="shared" si="137"/>
        <v>8082.459731973102</v>
      </c>
      <c r="K182" s="64">
        <f t="shared" si="137"/>
        <v>8571.4485457574756</v>
      </c>
      <c r="L182" s="64">
        <f t="shared" si="137"/>
        <v>9090.021182775803</v>
      </c>
      <c r="M182" s="64">
        <f t="shared" si="137"/>
        <v>9639.9674643337403</v>
      </c>
      <c r="N182" s="64">
        <f t="shared" si="137"/>
        <v>10223.185495925934</v>
      </c>
      <c r="O182" s="64">
        <f t="shared" si="137"/>
        <v>10841.688218429452</v>
      </c>
      <c r="P182" s="122">
        <f t="shared" si="137"/>
        <v>11497.610355644436</v>
      </c>
      <c r="Q182" s="50"/>
      <c r="R182" s="50"/>
      <c r="S182" s="50"/>
      <c r="T182" s="50"/>
      <c r="U182" s="50"/>
      <c r="V182" s="50"/>
      <c r="W182" s="50"/>
      <c r="X182" s="50"/>
      <c r="Y182" s="50"/>
      <c r="Z182" s="50"/>
    </row>
    <row r="183" spans="1:26" ht="15.75" customHeight="1" x14ac:dyDescent="0.35">
      <c r="A183" s="50"/>
      <c r="B183" s="53" t="s">
        <v>149</v>
      </c>
      <c r="C183" s="50"/>
      <c r="D183" s="64">
        <f t="shared" ref="D183:P183" si="138">IFERROR(D135*D167,"")+IFERROR(((D135*D151)*$D$19),"")</f>
        <v>153144.23000000001</v>
      </c>
      <c r="E183" s="64">
        <f t="shared" si="138"/>
        <v>145327.16999999998</v>
      </c>
      <c r="F183" s="64">
        <f t="shared" si="138"/>
        <v>102587.86</v>
      </c>
      <c r="G183" s="64">
        <f t="shared" si="138"/>
        <v>110482.44900000001</v>
      </c>
      <c r="H183" s="64">
        <f t="shared" si="138"/>
        <v>118939.06180800003</v>
      </c>
      <c r="I183" s="64">
        <f t="shared" si="138"/>
        <v>127995.92092305906</v>
      </c>
      <c r="J183" s="64">
        <f t="shared" si="138"/>
        <v>137693.77230836291</v>
      </c>
      <c r="K183" s="64">
        <f t="shared" si="138"/>
        <v>148076.04861095056</v>
      </c>
      <c r="L183" s="64">
        <f t="shared" si="138"/>
        <v>159189.0427837414</v>
      </c>
      <c r="M183" s="64">
        <f t="shared" si="138"/>
        <v>171082.09276557746</v>
      </c>
      <c r="N183" s="64">
        <f t="shared" si="138"/>
        <v>183807.77791598559</v>
      </c>
      <c r="O183" s="64">
        <f t="shared" si="138"/>
        <v>197422.12794489792</v>
      </c>
      <c r="P183" s="122">
        <f t="shared" si="138"/>
        <v>211984.84512380921</v>
      </c>
      <c r="Q183" s="50"/>
      <c r="R183" s="50"/>
      <c r="S183" s="50"/>
      <c r="T183" s="50"/>
      <c r="U183" s="50"/>
      <c r="V183" s="50"/>
      <c r="W183" s="50"/>
      <c r="X183" s="50"/>
      <c r="Y183" s="50"/>
      <c r="Z183" s="50"/>
    </row>
    <row r="184" spans="1:26" ht="15.75" customHeight="1" x14ac:dyDescent="0.35">
      <c r="A184" s="50"/>
      <c r="B184" s="53" t="s">
        <v>198</v>
      </c>
      <c r="C184" s="50"/>
      <c r="D184" s="64">
        <f t="shared" ref="D184:P184" si="139">IFERROR(D136*D168,"")+IFERROR(((D136*D152)*$D$19),"")</f>
        <v>50696.904999999999</v>
      </c>
      <c r="E184" s="64">
        <f t="shared" si="139"/>
        <v>26514.095000000001</v>
      </c>
      <c r="F184" s="64">
        <f t="shared" si="139"/>
        <v>11995.854999999998</v>
      </c>
      <c r="G184" s="64">
        <f t="shared" si="139"/>
        <v>12827.865749999999</v>
      </c>
      <c r="H184" s="64">
        <f t="shared" si="139"/>
        <v>13715.5262265</v>
      </c>
      <c r="I184" s="64">
        <f t="shared" si="139"/>
        <v>14662.468891759499</v>
      </c>
      <c r="J184" s="64">
        <f t="shared" si="139"/>
        <v>15672.55925469501</v>
      </c>
      <c r="K184" s="64">
        <f t="shared" si="139"/>
        <v>16749.910634337324</v>
      </c>
      <c r="L184" s="64">
        <f t="shared" si="139"/>
        <v>17898.899849684669</v>
      </c>
      <c r="M184" s="64">
        <f t="shared" si="139"/>
        <v>19124.183893659014</v>
      </c>
      <c r="N184" s="64">
        <f t="shared" si="139"/>
        <v>20430.717652447234</v>
      </c>
      <c r="O184" s="64">
        <f t="shared" si="139"/>
        <v>21823.772735303231</v>
      </c>
      <c r="P184" s="122">
        <f t="shared" si="139"/>
        <v>23308.957483916169</v>
      </c>
      <c r="Q184" s="50"/>
      <c r="R184" s="50"/>
      <c r="S184" s="50"/>
      <c r="T184" s="50"/>
      <c r="U184" s="50"/>
      <c r="V184" s="50"/>
      <c r="W184" s="50"/>
      <c r="X184" s="50"/>
      <c r="Y184" s="50"/>
      <c r="Z184" s="50"/>
    </row>
    <row r="185" spans="1:26" ht="15.75" customHeight="1" x14ac:dyDescent="0.35">
      <c r="A185" s="50"/>
      <c r="B185" s="53" t="s">
        <v>199</v>
      </c>
      <c r="C185" s="50"/>
      <c r="D185" s="64">
        <f t="shared" ref="D185:P185" si="140">IFERROR(D137*D169,"")+IFERROR(((D137*D153)*$D$19),"")</f>
        <v>2338.9450000000002</v>
      </c>
      <c r="E185" s="64">
        <f t="shared" si="140"/>
        <v>1671.7549999999999</v>
      </c>
      <c r="F185" s="64">
        <f t="shared" si="140"/>
        <v>14093.789999999999</v>
      </c>
      <c r="G185" s="64">
        <f t="shared" si="140"/>
        <v>15052.589999999998</v>
      </c>
      <c r="H185" s="64">
        <f t="shared" si="140"/>
        <v>16074.703685249997</v>
      </c>
      <c r="I185" s="64">
        <f t="shared" si="140"/>
        <v>17164.226847970123</v>
      </c>
      <c r="J185" s="64">
        <f t="shared" si="140"/>
        <v>18325.516341522944</v>
      </c>
      <c r="K185" s="64">
        <f t="shared" si="140"/>
        <v>19563.206537898237</v>
      </c>
      <c r="L185" s="64">
        <f t="shared" si="140"/>
        <v>20882.226814039906</v>
      </c>
      <c r="M185" s="64">
        <f t="shared" si="140"/>
        <v>22287.820130918069</v>
      </c>
      <c r="N185" s="64">
        <f t="shared" si="140"/>
        <v>23785.562773198806</v>
      </c>
      <c r="O185" s="64">
        <f t="shared" si="140"/>
        <v>25381.385321555543</v>
      </c>
      <c r="P185" s="122">
        <f t="shared" si="140"/>
        <v>27081.594934116765</v>
      </c>
      <c r="Q185" s="50"/>
      <c r="R185" s="50"/>
      <c r="S185" s="50"/>
      <c r="T185" s="50"/>
      <c r="U185" s="50"/>
      <c r="V185" s="50"/>
      <c r="W185" s="50"/>
      <c r="X185" s="50"/>
      <c r="Y185" s="50"/>
      <c r="Z185" s="50"/>
    </row>
    <row r="186" spans="1:26" ht="15.75" customHeight="1" x14ac:dyDescent="0.35">
      <c r="A186" s="50"/>
      <c r="B186" s="53" t="s">
        <v>152</v>
      </c>
      <c r="C186" s="50"/>
      <c r="D186" s="64">
        <f t="shared" ref="D186:P186" si="141">IFERROR(D138*D170,"")+IFERROR(((D138*D154)*$D$19),"")</f>
        <v>45.664999999999999</v>
      </c>
      <c r="E186" s="64">
        <f t="shared" si="141"/>
        <v>28.624999999999996</v>
      </c>
      <c r="F186" s="64">
        <f t="shared" si="141"/>
        <v>3.5300000000000002</v>
      </c>
      <c r="G186" s="64">
        <f t="shared" si="141"/>
        <v>11.119499999999972</v>
      </c>
      <c r="H186" s="64">
        <f t="shared" si="141"/>
        <v>19.536961500000022</v>
      </c>
      <c r="I186" s="64">
        <f t="shared" si="141"/>
        <v>28.850916008250024</v>
      </c>
      <c r="J186" s="64">
        <f t="shared" si="141"/>
        <v>39.134963181124171</v>
      </c>
      <c r="K186" s="64">
        <f t="shared" si="141"/>
        <v>50.468123545675923</v>
      </c>
      <c r="L186" s="64">
        <f t="shared" si="141"/>
        <v>62.935214866887812</v>
      </c>
      <c r="M186" s="64">
        <f t="shared" si="141"/>
        <v>76.627253705367949</v>
      </c>
      <c r="N186" s="64">
        <f t="shared" si="141"/>
        <v>91.641883810527673</v>
      </c>
      <c r="O186" s="64">
        <f t="shared" si="141"/>
        <v>108.08383309984882</v>
      </c>
      <c r="P186" s="122">
        <f t="shared" si="141"/>
        <v>126.0654010871131</v>
      </c>
      <c r="Q186" s="50"/>
      <c r="R186" s="50"/>
      <c r="S186" s="50"/>
      <c r="T186" s="50"/>
      <c r="U186" s="50"/>
      <c r="V186" s="50"/>
      <c r="W186" s="50"/>
      <c r="X186" s="50"/>
      <c r="Y186" s="50"/>
      <c r="Z186" s="50"/>
    </row>
    <row r="187" spans="1:26" ht="15.75" customHeight="1" x14ac:dyDescent="0.35">
      <c r="A187" s="50"/>
      <c r="B187" s="53" t="s">
        <v>153</v>
      </c>
      <c r="C187" s="50"/>
      <c r="D187" s="64">
        <f t="shared" ref="D187:P187" si="142">IFERROR(D139*D171,"")+IFERROR(((D139*D155)*$D$19),"")</f>
        <v>-1399.1700000000008</v>
      </c>
      <c r="E187" s="64">
        <f t="shared" si="142"/>
        <v>-716.3850000000001</v>
      </c>
      <c r="F187" s="64">
        <f t="shared" si="142"/>
        <v>29.814999999999994</v>
      </c>
      <c r="G187" s="64">
        <f t="shared" si="142"/>
        <v>33.321750000000002</v>
      </c>
      <c r="H187" s="64">
        <f t="shared" si="142"/>
        <v>37.125805500000006</v>
      </c>
      <c r="I187" s="64">
        <f t="shared" si="142"/>
        <v>41.249410838999978</v>
      </c>
      <c r="J187" s="64">
        <f t="shared" si="142"/>
        <v>45.716369006322005</v>
      </c>
      <c r="K187" s="64">
        <f t="shared" si="142"/>
        <v>50.552146583345092</v>
      </c>
      <c r="L187" s="64">
        <f t="shared" si="142"/>
        <v>55.783985566385134</v>
      </c>
      <c r="M187" s="64">
        <f t="shared" si="142"/>
        <v>61.441022513636447</v>
      </c>
      <c r="N187" s="64">
        <f t="shared" si="142"/>
        <v>67.55441548722078</v>
      </c>
      <c r="O187" s="64">
        <f t="shared" si="142"/>
        <v>74.157479291282414</v>
      </c>
      <c r="P187" s="122">
        <f t="shared" si="142"/>
        <v>81.285829538844013</v>
      </c>
      <c r="Q187" s="50"/>
      <c r="R187" s="50"/>
      <c r="S187" s="50"/>
      <c r="T187" s="50"/>
      <c r="U187" s="50"/>
      <c r="V187" s="50"/>
      <c r="W187" s="50"/>
      <c r="X187" s="50"/>
      <c r="Y187" s="50"/>
      <c r="Z187" s="50"/>
    </row>
    <row r="188" spans="1:26" ht="15.75" customHeight="1" x14ac:dyDescent="0.35">
      <c r="A188" s="50"/>
      <c r="B188" s="53" t="s">
        <v>154</v>
      </c>
      <c r="C188" s="50"/>
      <c r="D188" s="64">
        <f t="shared" ref="D188:P188" si="143">IFERROR(D140*D172,"")+IFERROR(((D140*D156)*$D$19),"")</f>
        <v>0</v>
      </c>
      <c r="E188" s="64">
        <f t="shared" si="143"/>
        <v>0</v>
      </c>
      <c r="F188" s="64">
        <f t="shared" si="143"/>
        <v>0</v>
      </c>
      <c r="G188" s="64">
        <f t="shared" si="143"/>
        <v>0</v>
      </c>
      <c r="H188" s="64">
        <f t="shared" si="143"/>
        <v>0</v>
      </c>
      <c r="I188" s="64">
        <f t="shared" si="143"/>
        <v>0</v>
      </c>
      <c r="J188" s="64">
        <f t="shared" si="143"/>
        <v>0</v>
      </c>
      <c r="K188" s="64">
        <f t="shared" si="143"/>
        <v>0</v>
      </c>
      <c r="L188" s="64">
        <f t="shared" si="143"/>
        <v>0</v>
      </c>
      <c r="M188" s="64">
        <f t="shared" si="143"/>
        <v>0</v>
      </c>
      <c r="N188" s="64">
        <f t="shared" si="143"/>
        <v>0</v>
      </c>
      <c r="O188" s="64">
        <f t="shared" si="143"/>
        <v>0</v>
      </c>
      <c r="P188" s="122">
        <f t="shared" si="143"/>
        <v>0</v>
      </c>
      <c r="Q188" s="50"/>
      <c r="R188" s="50"/>
      <c r="S188" s="50"/>
      <c r="T188" s="50"/>
      <c r="U188" s="50"/>
      <c r="V188" s="50"/>
      <c r="W188" s="50"/>
      <c r="X188" s="50"/>
      <c r="Y188" s="50"/>
      <c r="Z188" s="50"/>
    </row>
    <row r="189" spans="1:26" ht="15.75" customHeight="1" x14ac:dyDescent="0.35">
      <c r="A189" s="50"/>
      <c r="B189" s="53" t="s">
        <v>155</v>
      </c>
      <c r="C189" s="50"/>
      <c r="D189" s="64">
        <f t="shared" ref="D189:P189" si="144">IFERROR(D141*D173,"")+IFERROR(((D141*D157)*$D$19),"")</f>
        <v>0</v>
      </c>
      <c r="E189" s="64">
        <f t="shared" si="144"/>
        <v>0</v>
      </c>
      <c r="F189" s="64">
        <f t="shared" si="144"/>
        <v>0</v>
      </c>
      <c r="G189" s="64">
        <f t="shared" si="144"/>
        <v>0</v>
      </c>
      <c r="H189" s="64">
        <f t="shared" si="144"/>
        <v>0</v>
      </c>
      <c r="I189" s="64">
        <f t="shared" si="144"/>
        <v>0</v>
      </c>
      <c r="J189" s="64">
        <f t="shared" si="144"/>
        <v>0</v>
      </c>
      <c r="K189" s="64">
        <f t="shared" si="144"/>
        <v>0</v>
      </c>
      <c r="L189" s="64">
        <f t="shared" si="144"/>
        <v>0</v>
      </c>
      <c r="M189" s="64">
        <f t="shared" si="144"/>
        <v>0</v>
      </c>
      <c r="N189" s="64">
        <f t="shared" si="144"/>
        <v>0</v>
      </c>
      <c r="O189" s="64">
        <f t="shared" si="144"/>
        <v>0</v>
      </c>
      <c r="P189" s="122">
        <f t="shared" si="144"/>
        <v>0</v>
      </c>
      <c r="Q189" s="50"/>
      <c r="R189" s="50"/>
      <c r="S189" s="50"/>
      <c r="T189" s="50"/>
      <c r="U189" s="50"/>
      <c r="V189" s="50"/>
      <c r="W189" s="50"/>
      <c r="X189" s="50"/>
      <c r="Y189" s="50"/>
      <c r="Z189" s="50"/>
    </row>
    <row r="190" spans="1:26" ht="15.75" customHeight="1" x14ac:dyDescent="0.35">
      <c r="A190" s="50"/>
      <c r="B190" s="53" t="s">
        <v>156</v>
      </c>
      <c r="C190" s="50"/>
      <c r="D190" s="64">
        <f t="shared" ref="D190:P190" si="145">IFERROR(D142*D174,"")+IFERROR(((D142*D158)*$D$19),"")</f>
        <v>0</v>
      </c>
      <c r="E190" s="64">
        <f t="shared" si="145"/>
        <v>5.74</v>
      </c>
      <c r="F190" s="64">
        <f t="shared" si="145"/>
        <v>0</v>
      </c>
      <c r="G190" s="64">
        <f t="shared" si="145"/>
        <v>0</v>
      </c>
      <c r="H190" s="64">
        <f t="shared" si="145"/>
        <v>0</v>
      </c>
      <c r="I190" s="64">
        <f t="shared" si="145"/>
        <v>0</v>
      </c>
      <c r="J190" s="64">
        <f t="shared" si="145"/>
        <v>0</v>
      </c>
      <c r="K190" s="64">
        <f t="shared" si="145"/>
        <v>0</v>
      </c>
      <c r="L190" s="64">
        <f t="shared" si="145"/>
        <v>0</v>
      </c>
      <c r="M190" s="64">
        <f t="shared" si="145"/>
        <v>0</v>
      </c>
      <c r="N190" s="64">
        <f t="shared" si="145"/>
        <v>0</v>
      </c>
      <c r="O190" s="64">
        <f t="shared" si="145"/>
        <v>0</v>
      </c>
      <c r="P190" s="122">
        <f t="shared" si="145"/>
        <v>0</v>
      </c>
      <c r="Q190" s="50"/>
      <c r="R190" s="50"/>
      <c r="S190" s="50"/>
      <c r="T190" s="50"/>
      <c r="U190" s="50"/>
      <c r="V190" s="50"/>
      <c r="W190" s="50"/>
      <c r="X190" s="50"/>
      <c r="Y190" s="50"/>
      <c r="Z190" s="50"/>
    </row>
    <row r="191" spans="1:26" ht="15.75" customHeight="1" x14ac:dyDescent="0.35">
      <c r="A191" s="50"/>
      <c r="B191" s="161" t="s">
        <v>96</v>
      </c>
      <c r="C191" s="50"/>
      <c r="D191" s="64">
        <f t="shared" ref="D191:P191" si="146">IFERROR(D143*D175,"")+IFERROR(((D143*D159)*$D$19),"")</f>
        <v>0</v>
      </c>
      <c r="E191" s="64">
        <f t="shared" si="146"/>
        <v>0</v>
      </c>
      <c r="F191" s="64">
        <f t="shared" si="146"/>
        <v>0</v>
      </c>
      <c r="G191" s="64">
        <f t="shared" si="146"/>
        <v>0</v>
      </c>
      <c r="H191" s="64">
        <f t="shared" si="146"/>
        <v>0</v>
      </c>
      <c r="I191" s="64">
        <f t="shared" si="146"/>
        <v>0</v>
      </c>
      <c r="J191" s="64">
        <f t="shared" si="146"/>
        <v>0</v>
      </c>
      <c r="K191" s="64">
        <f t="shared" si="146"/>
        <v>0</v>
      </c>
      <c r="L191" s="64">
        <f t="shared" si="146"/>
        <v>0</v>
      </c>
      <c r="M191" s="64">
        <f t="shared" si="146"/>
        <v>0</v>
      </c>
      <c r="N191" s="64">
        <f t="shared" si="146"/>
        <v>0</v>
      </c>
      <c r="O191" s="64">
        <f t="shared" si="146"/>
        <v>0</v>
      </c>
      <c r="P191" s="122">
        <f t="shared" si="146"/>
        <v>0</v>
      </c>
      <c r="Q191" s="50"/>
      <c r="R191" s="50"/>
      <c r="S191" s="50"/>
      <c r="T191" s="50"/>
      <c r="U191" s="50"/>
      <c r="V191" s="50"/>
      <c r="W191" s="50"/>
      <c r="X191" s="50"/>
      <c r="Y191" s="50"/>
      <c r="Z191" s="50"/>
    </row>
    <row r="192" spans="1:26" ht="15.75" customHeight="1" x14ac:dyDescent="0.35">
      <c r="A192" s="50"/>
      <c r="B192" s="53" t="s">
        <v>158</v>
      </c>
      <c r="C192" s="50"/>
      <c r="D192" s="64">
        <f t="shared" ref="D192:P192" si="147">IFERROR(D144*D176,"")+IFERROR(((D144*D160)*$D$19),"")</f>
        <v>0</v>
      </c>
      <c r="E192" s="64">
        <f t="shared" si="147"/>
        <v>0</v>
      </c>
      <c r="F192" s="64">
        <f t="shared" si="147"/>
        <v>0</v>
      </c>
      <c r="G192" s="64">
        <f t="shared" si="147"/>
        <v>0</v>
      </c>
      <c r="H192" s="64">
        <f t="shared" si="147"/>
        <v>0</v>
      </c>
      <c r="I192" s="64">
        <f t="shared" si="147"/>
        <v>0</v>
      </c>
      <c r="J192" s="64">
        <f t="shared" si="147"/>
        <v>0</v>
      </c>
      <c r="K192" s="64">
        <f t="shared" si="147"/>
        <v>0</v>
      </c>
      <c r="L192" s="64">
        <f t="shared" si="147"/>
        <v>0</v>
      </c>
      <c r="M192" s="64">
        <f t="shared" si="147"/>
        <v>0</v>
      </c>
      <c r="N192" s="64">
        <f t="shared" si="147"/>
        <v>0</v>
      </c>
      <c r="O192" s="64">
        <f t="shared" si="147"/>
        <v>0</v>
      </c>
      <c r="P192" s="122">
        <f t="shared" si="147"/>
        <v>0</v>
      </c>
      <c r="Q192" s="50"/>
      <c r="R192" s="50"/>
      <c r="S192" s="50"/>
      <c r="T192" s="50"/>
      <c r="U192" s="50"/>
      <c r="V192" s="50"/>
      <c r="W192" s="50"/>
      <c r="X192" s="50"/>
      <c r="Y192" s="50"/>
      <c r="Z192" s="50"/>
    </row>
    <row r="193" spans="1:26" ht="15.75" customHeight="1" x14ac:dyDescent="0.35">
      <c r="A193" s="32"/>
      <c r="B193" s="58" t="s">
        <v>65</v>
      </c>
      <c r="C193" s="32"/>
      <c r="D193" s="129">
        <f t="shared" ref="D193:P193" si="148">SUM(D179:D192)</f>
        <v>669351.62</v>
      </c>
      <c r="E193" s="129">
        <f t="shared" si="148"/>
        <v>607201.95999999985</v>
      </c>
      <c r="F193" s="129">
        <f t="shared" si="148"/>
        <v>629906.14</v>
      </c>
      <c r="G193" s="129">
        <f t="shared" si="148"/>
        <v>677596.1115</v>
      </c>
      <c r="H193" s="129">
        <f t="shared" si="148"/>
        <v>728650.35877725016</v>
      </c>
      <c r="I193" s="129">
        <f t="shared" si="148"/>
        <v>783296.37214134901</v>
      </c>
      <c r="J193" s="129">
        <f t="shared" si="148"/>
        <v>841776.60264687927</v>
      </c>
      <c r="K193" s="129">
        <f t="shared" si="148"/>
        <v>904349.42709754326</v>
      </c>
      <c r="L193" s="129">
        <f t="shared" si="148"/>
        <v>971290.17442699871</v>
      </c>
      <c r="M193" s="129">
        <f t="shared" si="148"/>
        <v>1042892.2173193893</v>
      </c>
      <c r="N193" s="129">
        <f t="shared" si="148"/>
        <v>1119468.133173747</v>
      </c>
      <c r="O193" s="129">
        <f t="shared" si="148"/>
        <v>1201350.9387726202</v>
      </c>
      <c r="P193" s="130">
        <f t="shared" si="148"/>
        <v>1288895.4032873181</v>
      </c>
      <c r="Q193" s="32"/>
      <c r="R193" s="32"/>
      <c r="S193" s="32"/>
      <c r="T193" s="32"/>
      <c r="U193" s="32"/>
      <c r="V193" s="32"/>
      <c r="W193" s="32"/>
      <c r="X193" s="32"/>
      <c r="Y193" s="32"/>
      <c r="Z193" s="32"/>
    </row>
    <row r="194" spans="1:26" ht="15.75" customHeight="1" x14ac:dyDescent="0.35">
      <c r="A194" s="50"/>
      <c r="B194" s="131" t="s">
        <v>137</v>
      </c>
      <c r="C194" s="132" t="s">
        <v>138</v>
      </c>
      <c r="D194" s="133">
        <f t="array" ref="D194">NPV(D20,D193:P193)</f>
        <v>5757324.6643788395</v>
      </c>
      <c r="E194" s="134"/>
      <c r="F194" s="134"/>
      <c r="G194" s="134"/>
      <c r="H194" s="134"/>
      <c r="I194" s="134"/>
      <c r="J194" s="134"/>
      <c r="K194" s="134"/>
      <c r="L194" s="134"/>
      <c r="M194" s="134"/>
      <c r="N194" s="134"/>
      <c r="O194" s="134"/>
      <c r="P194" s="136"/>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35" t="s">
        <v>55</v>
      </c>
      <c r="C196" s="38"/>
      <c r="D196" s="565" t="s">
        <v>129</v>
      </c>
      <c r="E196" s="552"/>
      <c r="F196" s="553"/>
      <c r="G196" s="112" t="s">
        <v>130</v>
      </c>
      <c r="H196" s="38" t="e">
        <f t="shared" ref="H196:P196" si="149">+G196+1</f>
        <v>#VALUE!</v>
      </c>
      <c r="I196" s="38" t="e">
        <f t="shared" si="149"/>
        <v>#VALUE!</v>
      </c>
      <c r="J196" s="38" t="e">
        <f t="shared" si="149"/>
        <v>#VALUE!</v>
      </c>
      <c r="K196" s="38" t="e">
        <f t="shared" si="149"/>
        <v>#VALUE!</v>
      </c>
      <c r="L196" s="38" t="e">
        <f t="shared" si="149"/>
        <v>#VALUE!</v>
      </c>
      <c r="M196" s="38" t="e">
        <f t="shared" si="149"/>
        <v>#VALUE!</v>
      </c>
      <c r="N196" s="38" t="e">
        <f t="shared" si="149"/>
        <v>#VALUE!</v>
      </c>
      <c r="O196" s="38" t="e">
        <f t="shared" si="149"/>
        <v>#VALUE!</v>
      </c>
      <c r="P196" s="39" t="e">
        <f t="shared" si="149"/>
        <v>#VALUE!</v>
      </c>
      <c r="Q196" s="50"/>
      <c r="R196" s="50"/>
      <c r="S196" s="50"/>
      <c r="T196" s="50"/>
      <c r="U196" s="50"/>
      <c r="V196" s="50"/>
      <c r="W196" s="50"/>
      <c r="X196" s="50"/>
      <c r="Y196" s="50"/>
      <c r="Z196" s="50"/>
    </row>
    <row r="197" spans="1:26" ht="15.75" customHeight="1" x14ac:dyDescent="0.35">
      <c r="A197" s="50"/>
      <c r="B197" s="40"/>
      <c r="C197" s="113"/>
      <c r="D197" s="159" t="e">
        <f>D97</f>
        <v>#REF!</v>
      </c>
      <c r="E197" s="159" t="e">
        <f>+D197+1</f>
        <v>#REF!</v>
      </c>
      <c r="F197" s="159" t="e">
        <f t="shared" ref="F197:P197" si="150">E197+1</f>
        <v>#REF!</v>
      </c>
      <c r="G197" s="159" t="e">
        <f t="shared" si="150"/>
        <v>#REF!</v>
      </c>
      <c r="H197" s="159" t="e">
        <f t="shared" si="150"/>
        <v>#REF!</v>
      </c>
      <c r="I197" s="159" t="e">
        <f t="shared" si="150"/>
        <v>#REF!</v>
      </c>
      <c r="J197" s="159" t="e">
        <f t="shared" si="150"/>
        <v>#REF!</v>
      </c>
      <c r="K197" s="159" t="e">
        <f t="shared" si="150"/>
        <v>#REF!</v>
      </c>
      <c r="L197" s="159" t="e">
        <f t="shared" si="150"/>
        <v>#REF!</v>
      </c>
      <c r="M197" s="159" t="e">
        <f t="shared" si="150"/>
        <v>#REF!</v>
      </c>
      <c r="N197" s="159" t="e">
        <f t="shared" si="150"/>
        <v>#REF!</v>
      </c>
      <c r="O197" s="159" t="e">
        <f t="shared" si="150"/>
        <v>#REF!</v>
      </c>
      <c r="P197" s="160" t="e">
        <f t="shared" si="150"/>
        <v>#REF!</v>
      </c>
      <c r="Q197" s="50"/>
      <c r="R197" s="50"/>
      <c r="S197" s="50"/>
      <c r="T197" s="50"/>
      <c r="U197" s="50"/>
      <c r="V197" s="50"/>
      <c r="W197" s="50"/>
      <c r="X197" s="50"/>
      <c r="Y197" s="50"/>
      <c r="Z197" s="50"/>
    </row>
    <row r="198" spans="1:26" ht="15.75" customHeight="1" x14ac:dyDescent="0.35">
      <c r="A198" s="50"/>
      <c r="B198" s="46" t="s">
        <v>220</v>
      </c>
      <c r="C198" s="47"/>
      <c r="D198" s="49"/>
      <c r="E198" s="49"/>
      <c r="F198" s="49"/>
      <c r="G198" s="49"/>
      <c r="H198" s="49"/>
      <c r="I198" s="49"/>
      <c r="J198" s="49"/>
      <c r="K198" s="49"/>
      <c r="L198" s="49"/>
      <c r="M198" s="49"/>
      <c r="N198" s="50"/>
      <c r="O198" s="50"/>
      <c r="P198" s="115"/>
      <c r="Q198" s="50"/>
      <c r="R198" s="50"/>
      <c r="S198" s="50"/>
      <c r="T198" s="50"/>
      <c r="U198" s="50"/>
      <c r="V198" s="50"/>
      <c r="W198" s="50"/>
      <c r="X198" s="50"/>
      <c r="Y198" s="50"/>
      <c r="Z198" s="50"/>
    </row>
    <row r="199" spans="1:26" ht="15.75" customHeight="1" x14ac:dyDescent="0.35">
      <c r="A199" s="50"/>
      <c r="B199" s="53" t="s">
        <v>145</v>
      </c>
      <c r="C199" s="116" t="s">
        <v>109</v>
      </c>
      <c r="D199" s="195">
        <f t="shared" ref="D199:P199" si="151">IFERROR(D131/D99,"")</f>
        <v>7.4362826697505682E-3</v>
      </c>
      <c r="E199" s="195">
        <f t="shared" si="151"/>
        <v>5.6722561028085278E-3</v>
      </c>
      <c r="F199" s="195">
        <f t="shared" si="151"/>
        <v>5.8004075479251059E-3</v>
      </c>
      <c r="G199" s="195">
        <f t="shared" si="151"/>
        <v>5.827603028725827E-3</v>
      </c>
      <c r="H199" s="195">
        <f t="shared" si="151"/>
        <v>5.854926016804248E-3</v>
      </c>
      <c r="I199" s="196">
        <f t="shared" si="151"/>
        <v>5.8823771099841739E-3</v>
      </c>
      <c r="J199" s="196">
        <f t="shared" si="151"/>
        <v>5.9099569088923391E-3</v>
      </c>
      <c r="K199" s="196">
        <f t="shared" si="151"/>
        <v>5.9376660169715399E-3</v>
      </c>
      <c r="L199" s="196">
        <f t="shared" si="151"/>
        <v>5.9655050404938455E-3</v>
      </c>
      <c r="M199" s="196">
        <f t="shared" si="151"/>
        <v>5.9934745885738567E-3</v>
      </c>
      <c r="N199" s="196">
        <f t="shared" si="151"/>
        <v>6.0215752731820399E-3</v>
      </c>
      <c r="O199" s="196">
        <f t="shared" si="151"/>
        <v>6.0498077091581115E-3</v>
      </c>
      <c r="P199" s="197">
        <f t="shared" si="151"/>
        <v>6.0781725142244943E-3</v>
      </c>
      <c r="Q199" s="50"/>
      <c r="R199" s="50"/>
      <c r="S199" s="50"/>
      <c r="T199" s="50"/>
      <c r="U199" s="50"/>
      <c r="V199" s="50"/>
      <c r="W199" s="50"/>
      <c r="X199" s="50"/>
      <c r="Y199" s="50"/>
      <c r="Z199" s="50"/>
    </row>
    <row r="200" spans="1:26" ht="15.75" customHeight="1" x14ac:dyDescent="0.35">
      <c r="A200" s="50"/>
      <c r="B200" s="53" t="s">
        <v>146</v>
      </c>
      <c r="C200" s="116" t="s">
        <v>109</v>
      </c>
      <c r="D200" s="195">
        <f t="shared" ref="D200:P200" si="152">IFERROR(D132/D100,"")</f>
        <v>7.4362826697505682E-3</v>
      </c>
      <c r="E200" s="195">
        <f t="shared" si="152"/>
        <v>5.6722561028085278E-3</v>
      </c>
      <c r="F200" s="195">
        <f t="shared" si="152"/>
        <v>5.8004075479251059E-3</v>
      </c>
      <c r="G200" s="195">
        <f t="shared" si="152"/>
        <v>5.827603028725827E-3</v>
      </c>
      <c r="H200" s="195">
        <f t="shared" si="152"/>
        <v>5.8549260168042471E-3</v>
      </c>
      <c r="I200" s="196">
        <f t="shared" si="152"/>
        <v>5.8823771099841739E-3</v>
      </c>
      <c r="J200" s="196">
        <f t="shared" si="152"/>
        <v>5.9099569088923382E-3</v>
      </c>
      <c r="K200" s="196">
        <f t="shared" si="152"/>
        <v>5.9376660169715399E-3</v>
      </c>
      <c r="L200" s="196">
        <f t="shared" si="152"/>
        <v>5.9655050404938455E-3</v>
      </c>
      <c r="M200" s="196">
        <f t="shared" si="152"/>
        <v>5.9934745885738576E-3</v>
      </c>
      <c r="N200" s="196">
        <f t="shared" si="152"/>
        <v>6.0215752731820416E-3</v>
      </c>
      <c r="O200" s="196">
        <f t="shared" si="152"/>
        <v>6.0498077091581132E-3</v>
      </c>
      <c r="P200" s="197">
        <f t="shared" si="152"/>
        <v>6.0781725142244952E-3</v>
      </c>
      <c r="Q200" s="50"/>
      <c r="R200" s="50"/>
      <c r="S200" s="50"/>
      <c r="T200" s="50"/>
      <c r="U200" s="50"/>
      <c r="V200" s="50"/>
      <c r="W200" s="50"/>
      <c r="X200" s="50"/>
      <c r="Y200" s="50"/>
      <c r="Z200" s="50"/>
    </row>
    <row r="201" spans="1:26" ht="15.75" customHeight="1" x14ac:dyDescent="0.35">
      <c r="A201" s="50"/>
      <c r="B201" s="53" t="s">
        <v>147</v>
      </c>
      <c r="C201" s="116" t="s">
        <v>109</v>
      </c>
      <c r="D201" s="195">
        <f t="shared" ref="D201:P201" si="153">IFERROR(D133/D101,"")</f>
        <v>7.4362826697505682E-3</v>
      </c>
      <c r="E201" s="195">
        <f t="shared" si="153"/>
        <v>5.6722561028085278E-3</v>
      </c>
      <c r="F201" s="195">
        <f t="shared" si="153"/>
        <v>5.8004075479251059E-3</v>
      </c>
      <c r="G201" s="195">
        <f t="shared" si="153"/>
        <v>5.827603028725827E-3</v>
      </c>
      <c r="H201" s="195">
        <f t="shared" si="153"/>
        <v>5.8549260168042471E-3</v>
      </c>
      <c r="I201" s="196">
        <f t="shared" si="153"/>
        <v>5.8823771099841748E-3</v>
      </c>
      <c r="J201" s="196">
        <f t="shared" si="153"/>
        <v>5.9099569088923399E-3</v>
      </c>
      <c r="K201" s="196">
        <f t="shared" si="153"/>
        <v>5.9376660169715408E-3</v>
      </c>
      <c r="L201" s="196">
        <f t="shared" si="153"/>
        <v>5.9655050404938455E-3</v>
      </c>
      <c r="M201" s="196">
        <f t="shared" si="153"/>
        <v>5.9934745885738576E-3</v>
      </c>
      <c r="N201" s="196">
        <f t="shared" si="153"/>
        <v>6.0215752731820407E-3</v>
      </c>
      <c r="O201" s="196">
        <f t="shared" si="153"/>
        <v>6.0498077091581132E-3</v>
      </c>
      <c r="P201" s="197">
        <f t="shared" si="153"/>
        <v>6.0781725142244952E-3</v>
      </c>
      <c r="Q201" s="50"/>
      <c r="R201" s="50"/>
      <c r="S201" s="50"/>
      <c r="T201" s="50"/>
      <c r="U201" s="50"/>
      <c r="V201" s="50"/>
      <c r="W201" s="50"/>
      <c r="X201" s="50"/>
      <c r="Y201" s="50"/>
      <c r="Z201" s="50"/>
    </row>
    <row r="202" spans="1:26" ht="15.75" customHeight="1" x14ac:dyDescent="0.35">
      <c r="A202" s="50"/>
      <c r="B202" s="53" t="s">
        <v>148</v>
      </c>
      <c r="C202" s="116" t="s">
        <v>109</v>
      </c>
      <c r="D202" s="195" t="str">
        <f t="shared" ref="D202:P202" si="154">IFERROR(D134/D102,"")</f>
        <v/>
      </c>
      <c r="E202" s="195" t="str">
        <f t="shared" si="154"/>
        <v/>
      </c>
      <c r="F202" s="195">
        <f t="shared" si="154"/>
        <v>5.8004075479251059E-3</v>
      </c>
      <c r="G202" s="195">
        <f t="shared" si="154"/>
        <v>5.8276030287258279E-3</v>
      </c>
      <c r="H202" s="195">
        <f t="shared" si="154"/>
        <v>5.8549260168042488E-3</v>
      </c>
      <c r="I202" s="196">
        <f t="shared" si="154"/>
        <v>5.8823771099841757E-3</v>
      </c>
      <c r="J202" s="196">
        <f t="shared" si="154"/>
        <v>5.9099569088923399E-3</v>
      </c>
      <c r="K202" s="196">
        <f t="shared" si="154"/>
        <v>5.9376660169715417E-3</v>
      </c>
      <c r="L202" s="196">
        <f t="shared" si="154"/>
        <v>5.9655050404938481E-3</v>
      </c>
      <c r="M202" s="196">
        <f t="shared" si="154"/>
        <v>5.9934745885738602E-3</v>
      </c>
      <c r="N202" s="196">
        <f t="shared" si="154"/>
        <v>6.0215752731820442E-3</v>
      </c>
      <c r="O202" s="196">
        <f t="shared" si="154"/>
        <v>6.049807709158115E-3</v>
      </c>
      <c r="P202" s="197">
        <f t="shared" si="154"/>
        <v>6.0781725142244969E-3</v>
      </c>
      <c r="Q202" s="50"/>
      <c r="R202" s="50"/>
      <c r="S202" s="50"/>
      <c r="T202" s="50"/>
      <c r="U202" s="50"/>
      <c r="V202" s="50"/>
      <c r="W202" s="50"/>
      <c r="X202" s="50"/>
      <c r="Y202" s="50"/>
      <c r="Z202" s="50"/>
    </row>
    <row r="203" spans="1:26" ht="15.75" customHeight="1" x14ac:dyDescent="0.35">
      <c r="A203" s="50"/>
      <c r="B203" s="53" t="s">
        <v>149</v>
      </c>
      <c r="C203" s="116" t="s">
        <v>109</v>
      </c>
      <c r="D203" s="195">
        <f t="shared" ref="D203:P203" si="155">IFERROR(D135/D103,"")</f>
        <v>7.4362826697505682E-3</v>
      </c>
      <c r="E203" s="195">
        <f t="shared" si="155"/>
        <v>5.6722561028085278E-3</v>
      </c>
      <c r="F203" s="195">
        <f t="shared" si="155"/>
        <v>5.8004075479251059E-3</v>
      </c>
      <c r="G203" s="195">
        <f t="shared" si="155"/>
        <v>5.827603028725827E-3</v>
      </c>
      <c r="H203" s="195">
        <f t="shared" si="155"/>
        <v>5.8549260168042488E-3</v>
      </c>
      <c r="I203" s="196">
        <f t="shared" si="155"/>
        <v>5.8823771099841757E-3</v>
      </c>
      <c r="J203" s="196">
        <f t="shared" si="155"/>
        <v>5.9099569088923408E-3</v>
      </c>
      <c r="K203" s="196">
        <f t="shared" si="155"/>
        <v>5.9376660169715417E-3</v>
      </c>
      <c r="L203" s="196">
        <f t="shared" si="155"/>
        <v>5.9655050404938473E-3</v>
      </c>
      <c r="M203" s="196">
        <f t="shared" si="155"/>
        <v>5.9934745885738602E-3</v>
      </c>
      <c r="N203" s="196">
        <f t="shared" si="155"/>
        <v>6.0215752731820433E-3</v>
      </c>
      <c r="O203" s="196">
        <f t="shared" si="155"/>
        <v>6.0498077091581141E-3</v>
      </c>
      <c r="P203" s="197">
        <f t="shared" si="155"/>
        <v>6.0781725142244961E-3</v>
      </c>
      <c r="Q203" s="50"/>
      <c r="R203" s="50"/>
      <c r="S203" s="50"/>
      <c r="T203" s="50"/>
      <c r="U203" s="50"/>
      <c r="V203" s="50"/>
      <c r="W203" s="50"/>
      <c r="X203" s="50"/>
      <c r="Y203" s="50"/>
      <c r="Z203" s="50"/>
    </row>
    <row r="204" spans="1:26" ht="15.75" customHeight="1" x14ac:dyDescent="0.35">
      <c r="A204" s="50"/>
      <c r="B204" s="53" t="s">
        <v>198</v>
      </c>
      <c r="C204" s="116" t="s">
        <v>109</v>
      </c>
      <c r="D204" s="195">
        <f t="shared" ref="D204:P204" si="156">IFERROR(D136/D104,"")</f>
        <v>7.4362826697505682E-3</v>
      </c>
      <c r="E204" s="195">
        <f t="shared" si="156"/>
        <v>5.6722561028085278E-3</v>
      </c>
      <c r="F204" s="195">
        <f t="shared" si="156"/>
        <v>5.8004075479251059E-3</v>
      </c>
      <c r="G204" s="195">
        <f t="shared" si="156"/>
        <v>5.8276030287258279E-3</v>
      </c>
      <c r="H204" s="195">
        <f t="shared" si="156"/>
        <v>5.854926016804248E-3</v>
      </c>
      <c r="I204" s="196">
        <f t="shared" si="156"/>
        <v>5.8823771099841748E-3</v>
      </c>
      <c r="J204" s="196">
        <f t="shared" si="156"/>
        <v>5.9099569088923391E-3</v>
      </c>
      <c r="K204" s="196">
        <f t="shared" si="156"/>
        <v>5.9376660169715399E-3</v>
      </c>
      <c r="L204" s="196">
        <f t="shared" si="156"/>
        <v>5.9655050404938455E-3</v>
      </c>
      <c r="M204" s="196">
        <f t="shared" si="156"/>
        <v>5.9934745885738576E-3</v>
      </c>
      <c r="N204" s="196">
        <f t="shared" si="156"/>
        <v>6.0215752731820407E-3</v>
      </c>
      <c r="O204" s="196">
        <f t="shared" si="156"/>
        <v>6.0498077091581124E-3</v>
      </c>
      <c r="P204" s="197">
        <f t="shared" si="156"/>
        <v>6.0781725142244943E-3</v>
      </c>
      <c r="Q204" s="50"/>
      <c r="R204" s="50"/>
      <c r="S204" s="50"/>
      <c r="T204" s="50"/>
      <c r="U204" s="50"/>
      <c r="V204" s="50"/>
      <c r="W204" s="50"/>
      <c r="X204" s="50"/>
      <c r="Y204" s="50"/>
      <c r="Z204" s="50"/>
    </row>
    <row r="205" spans="1:26" ht="15.75" customHeight="1" x14ac:dyDescent="0.35">
      <c r="A205" s="50"/>
      <c r="B205" s="53" t="s">
        <v>199</v>
      </c>
      <c r="C205" s="116" t="s">
        <v>109</v>
      </c>
      <c r="D205" s="195">
        <f t="shared" ref="D205:P205" si="157">IFERROR(D137/D105,"")</f>
        <v>7.4362826697505682E-3</v>
      </c>
      <c r="E205" s="195">
        <f t="shared" si="157"/>
        <v>5.6722561028085278E-3</v>
      </c>
      <c r="F205" s="195">
        <f t="shared" si="157"/>
        <v>5.8004075479251068E-3</v>
      </c>
      <c r="G205" s="195">
        <f t="shared" si="157"/>
        <v>5.827603028725827E-3</v>
      </c>
      <c r="H205" s="195">
        <f t="shared" si="157"/>
        <v>5.8549260168042471E-3</v>
      </c>
      <c r="I205" s="196">
        <f t="shared" si="157"/>
        <v>5.8823771099841739E-3</v>
      </c>
      <c r="J205" s="196">
        <f t="shared" si="157"/>
        <v>5.9099569088923391E-3</v>
      </c>
      <c r="K205" s="196">
        <f t="shared" si="157"/>
        <v>5.9376660169715408E-3</v>
      </c>
      <c r="L205" s="196">
        <f t="shared" si="157"/>
        <v>5.9655050404938464E-3</v>
      </c>
      <c r="M205" s="196">
        <f t="shared" si="157"/>
        <v>5.9934745885738584E-3</v>
      </c>
      <c r="N205" s="196">
        <f t="shared" si="157"/>
        <v>6.0215752731820416E-3</v>
      </c>
      <c r="O205" s="196">
        <f t="shared" si="157"/>
        <v>6.0498077091581132E-3</v>
      </c>
      <c r="P205" s="197">
        <f t="shared" si="157"/>
        <v>6.0781725142244961E-3</v>
      </c>
      <c r="Q205" s="50"/>
      <c r="R205" s="50"/>
      <c r="S205" s="50"/>
      <c r="T205" s="50"/>
      <c r="U205" s="50"/>
      <c r="V205" s="50"/>
      <c r="W205" s="50"/>
      <c r="X205" s="50"/>
      <c r="Y205" s="50"/>
      <c r="Z205" s="50"/>
    </row>
    <row r="206" spans="1:26" ht="15.75" customHeight="1" x14ac:dyDescent="0.35">
      <c r="A206" s="50"/>
      <c r="B206" s="53" t="s">
        <v>152</v>
      </c>
      <c r="C206" s="116" t="s">
        <v>109</v>
      </c>
      <c r="D206" s="195">
        <f t="shared" ref="D206:P206" si="158">IFERROR(D138/D106,"")</f>
        <v>7.4362826697505682E-3</v>
      </c>
      <c r="E206" s="195">
        <f t="shared" si="158"/>
        <v>5.6722561028085278E-3</v>
      </c>
      <c r="F206" s="195">
        <f t="shared" si="158"/>
        <v>5.8004075479251059E-3</v>
      </c>
      <c r="G206" s="195">
        <f t="shared" si="158"/>
        <v>5.827603028725827E-3</v>
      </c>
      <c r="H206" s="195">
        <f t="shared" si="158"/>
        <v>5.854926016804248E-3</v>
      </c>
      <c r="I206" s="196">
        <f t="shared" si="158"/>
        <v>5.8823771099841757E-3</v>
      </c>
      <c r="J206" s="196">
        <f t="shared" si="158"/>
        <v>5.9099569088923408E-3</v>
      </c>
      <c r="K206" s="196">
        <f t="shared" si="158"/>
        <v>5.9376660169715425E-3</v>
      </c>
      <c r="L206" s="196">
        <f t="shared" si="158"/>
        <v>5.9655050404938473E-3</v>
      </c>
      <c r="M206" s="196">
        <f t="shared" si="158"/>
        <v>5.9934745885738584E-3</v>
      </c>
      <c r="N206" s="196">
        <f t="shared" si="158"/>
        <v>6.0215752731820425E-3</v>
      </c>
      <c r="O206" s="196">
        <f t="shared" si="158"/>
        <v>6.049807709158115E-3</v>
      </c>
      <c r="P206" s="197">
        <f t="shared" si="158"/>
        <v>6.0781725142244969E-3</v>
      </c>
      <c r="Q206" s="50"/>
      <c r="R206" s="50"/>
      <c r="S206" s="50"/>
      <c r="T206" s="50"/>
      <c r="U206" s="50"/>
      <c r="V206" s="50"/>
      <c r="W206" s="50"/>
      <c r="X206" s="50"/>
      <c r="Y206" s="50"/>
      <c r="Z206" s="50"/>
    </row>
    <row r="207" spans="1:26" ht="15.75" customHeight="1" x14ac:dyDescent="0.35">
      <c r="A207" s="50"/>
      <c r="B207" s="53" t="s">
        <v>153</v>
      </c>
      <c r="C207" s="116" t="s">
        <v>109</v>
      </c>
      <c r="D207" s="195">
        <f t="shared" ref="D207:P207" si="159">IFERROR(D139/D107,"")</f>
        <v>7.4362826697505682E-3</v>
      </c>
      <c r="E207" s="195">
        <f t="shared" si="159"/>
        <v>5.6722561028085278E-3</v>
      </c>
      <c r="F207" s="195">
        <f t="shared" si="159"/>
        <v>5.8004075479251059E-3</v>
      </c>
      <c r="G207" s="195">
        <f t="shared" si="159"/>
        <v>5.8276030287258279E-3</v>
      </c>
      <c r="H207" s="195">
        <f t="shared" si="159"/>
        <v>5.8549260168042488E-3</v>
      </c>
      <c r="I207" s="196">
        <f t="shared" si="159"/>
        <v>5.8823771099841757E-3</v>
      </c>
      <c r="J207" s="196">
        <f t="shared" si="159"/>
        <v>5.9099569088923399E-3</v>
      </c>
      <c r="K207" s="196">
        <f t="shared" si="159"/>
        <v>5.9376660169715417E-3</v>
      </c>
      <c r="L207" s="196">
        <f t="shared" si="159"/>
        <v>5.9655050404938481E-3</v>
      </c>
      <c r="M207" s="196">
        <f t="shared" si="159"/>
        <v>5.9934745885738602E-3</v>
      </c>
      <c r="N207" s="196">
        <f t="shared" si="159"/>
        <v>6.0215752731820442E-3</v>
      </c>
      <c r="O207" s="196">
        <f t="shared" si="159"/>
        <v>6.049807709158115E-3</v>
      </c>
      <c r="P207" s="197">
        <f t="shared" si="159"/>
        <v>6.0781725142244969E-3</v>
      </c>
      <c r="Q207" s="50"/>
      <c r="R207" s="50"/>
      <c r="S207" s="50"/>
      <c r="T207" s="50"/>
      <c r="U207" s="50"/>
      <c r="V207" s="50"/>
      <c r="W207" s="50"/>
      <c r="X207" s="50"/>
      <c r="Y207" s="50"/>
      <c r="Z207" s="50"/>
    </row>
    <row r="208" spans="1:26" ht="15.75" customHeight="1" x14ac:dyDescent="0.35">
      <c r="A208" s="50"/>
      <c r="B208" s="53" t="s">
        <v>154</v>
      </c>
      <c r="C208" s="116" t="s">
        <v>109</v>
      </c>
      <c r="D208" s="195" t="str">
        <f t="shared" ref="D208:P208" si="160">IFERROR(D140/D108,"")</f>
        <v/>
      </c>
      <c r="E208" s="195" t="str">
        <f t="shared" si="160"/>
        <v/>
      </c>
      <c r="F208" s="195" t="str">
        <f t="shared" si="160"/>
        <v/>
      </c>
      <c r="G208" s="195" t="str">
        <f t="shared" si="160"/>
        <v/>
      </c>
      <c r="H208" s="195" t="str">
        <f t="shared" si="160"/>
        <v/>
      </c>
      <c r="I208" s="196" t="str">
        <f t="shared" si="160"/>
        <v/>
      </c>
      <c r="J208" s="196" t="str">
        <f t="shared" si="160"/>
        <v/>
      </c>
      <c r="K208" s="196" t="str">
        <f t="shared" si="160"/>
        <v/>
      </c>
      <c r="L208" s="196" t="str">
        <f t="shared" si="160"/>
        <v/>
      </c>
      <c r="M208" s="196" t="str">
        <f t="shared" si="160"/>
        <v/>
      </c>
      <c r="N208" s="196" t="str">
        <f t="shared" si="160"/>
        <v/>
      </c>
      <c r="O208" s="196" t="str">
        <f t="shared" si="160"/>
        <v/>
      </c>
      <c r="P208" s="197" t="str">
        <f t="shared" si="160"/>
        <v/>
      </c>
      <c r="Q208" s="50"/>
      <c r="R208" s="50"/>
      <c r="S208" s="50"/>
      <c r="T208" s="50"/>
      <c r="U208" s="50"/>
      <c r="V208" s="50"/>
      <c r="W208" s="50"/>
      <c r="X208" s="50"/>
      <c r="Y208" s="50"/>
      <c r="Z208" s="50"/>
    </row>
    <row r="209" spans="1:26" ht="15.75" customHeight="1" x14ac:dyDescent="0.35">
      <c r="A209" s="50"/>
      <c r="B209" s="53" t="s">
        <v>155</v>
      </c>
      <c r="C209" s="116" t="s">
        <v>109</v>
      </c>
      <c r="D209" s="195" t="str">
        <f t="shared" ref="D209:P209" si="161">IFERROR(D141/D109,"")</f>
        <v/>
      </c>
      <c r="E209" s="195" t="str">
        <f t="shared" si="161"/>
        <v/>
      </c>
      <c r="F209" s="195" t="str">
        <f t="shared" si="161"/>
        <v/>
      </c>
      <c r="G209" s="195" t="str">
        <f t="shared" si="161"/>
        <v/>
      </c>
      <c r="H209" s="195" t="str">
        <f t="shared" si="161"/>
        <v/>
      </c>
      <c r="I209" s="145" t="str">
        <f t="shared" si="161"/>
        <v/>
      </c>
      <c r="J209" s="145" t="str">
        <f t="shared" si="161"/>
        <v/>
      </c>
      <c r="K209" s="145" t="str">
        <f t="shared" si="161"/>
        <v/>
      </c>
      <c r="L209" s="145" t="str">
        <f t="shared" si="161"/>
        <v/>
      </c>
      <c r="M209" s="145" t="str">
        <f t="shared" si="161"/>
        <v/>
      </c>
      <c r="N209" s="145" t="str">
        <f t="shared" si="161"/>
        <v/>
      </c>
      <c r="O209" s="145" t="str">
        <f t="shared" si="161"/>
        <v/>
      </c>
      <c r="P209" s="146" t="str">
        <f t="shared" si="161"/>
        <v/>
      </c>
      <c r="Q209" s="50"/>
      <c r="R209" s="50"/>
      <c r="S209" s="50"/>
      <c r="T209" s="50"/>
      <c r="U209" s="50"/>
      <c r="V209" s="50"/>
      <c r="W209" s="50"/>
      <c r="X209" s="50"/>
      <c r="Y209" s="50"/>
      <c r="Z209" s="50"/>
    </row>
    <row r="210" spans="1:26" ht="15.75" customHeight="1" x14ac:dyDescent="0.35">
      <c r="A210" s="50"/>
      <c r="B210" s="53" t="s">
        <v>156</v>
      </c>
      <c r="C210" s="116" t="s">
        <v>109</v>
      </c>
      <c r="D210" s="145" t="str">
        <f t="shared" ref="D210:P210" si="162">IFERROR(D142/D110,"")</f>
        <v/>
      </c>
      <c r="E210" s="145">
        <f t="shared" si="162"/>
        <v>5.6722561028085278E-3</v>
      </c>
      <c r="F210" s="145" t="str">
        <f t="shared" si="162"/>
        <v/>
      </c>
      <c r="G210" s="145" t="str">
        <f t="shared" si="162"/>
        <v/>
      </c>
      <c r="H210" s="145" t="str">
        <f t="shared" si="162"/>
        <v/>
      </c>
      <c r="I210" s="145" t="str">
        <f t="shared" si="162"/>
        <v/>
      </c>
      <c r="J210" s="145" t="str">
        <f t="shared" si="162"/>
        <v/>
      </c>
      <c r="K210" s="145" t="str">
        <f t="shared" si="162"/>
        <v/>
      </c>
      <c r="L210" s="145" t="str">
        <f t="shared" si="162"/>
        <v/>
      </c>
      <c r="M210" s="145" t="str">
        <f t="shared" si="162"/>
        <v/>
      </c>
      <c r="N210" s="145" t="str">
        <f t="shared" si="162"/>
        <v/>
      </c>
      <c r="O210" s="145" t="str">
        <f t="shared" si="162"/>
        <v/>
      </c>
      <c r="P210" s="146" t="str">
        <f t="shared" si="162"/>
        <v/>
      </c>
      <c r="Q210" s="50"/>
      <c r="R210" s="50"/>
      <c r="S210" s="50"/>
      <c r="T210" s="50"/>
      <c r="U210" s="50"/>
      <c r="V210" s="50"/>
      <c r="W210" s="50"/>
      <c r="X210" s="50"/>
      <c r="Y210" s="50"/>
      <c r="Z210" s="50"/>
    </row>
    <row r="211" spans="1:26" ht="15.75" customHeight="1" x14ac:dyDescent="0.35">
      <c r="A211" s="50"/>
      <c r="B211" s="161" t="s">
        <v>96</v>
      </c>
      <c r="C211" s="116" t="s">
        <v>109</v>
      </c>
      <c r="D211" s="145" t="str">
        <f t="shared" ref="D211:P211" si="163">IFERROR(D143/D111,"")</f>
        <v/>
      </c>
      <c r="E211" s="145" t="str">
        <f t="shared" si="163"/>
        <v/>
      </c>
      <c r="F211" s="145" t="str">
        <f t="shared" si="163"/>
        <v/>
      </c>
      <c r="G211" s="145" t="str">
        <f t="shared" si="163"/>
        <v/>
      </c>
      <c r="H211" s="145" t="str">
        <f t="shared" si="163"/>
        <v/>
      </c>
      <c r="I211" s="145" t="str">
        <f t="shared" si="163"/>
        <v/>
      </c>
      <c r="J211" s="145" t="str">
        <f t="shared" si="163"/>
        <v/>
      </c>
      <c r="K211" s="145" t="str">
        <f t="shared" si="163"/>
        <v/>
      </c>
      <c r="L211" s="145" t="str">
        <f t="shared" si="163"/>
        <v/>
      </c>
      <c r="M211" s="145" t="str">
        <f t="shared" si="163"/>
        <v/>
      </c>
      <c r="N211" s="145" t="str">
        <f t="shared" si="163"/>
        <v/>
      </c>
      <c r="O211" s="145" t="str">
        <f t="shared" si="163"/>
        <v/>
      </c>
      <c r="P211" s="146" t="str">
        <f t="shared" si="163"/>
        <v/>
      </c>
      <c r="Q211" s="50"/>
      <c r="R211" s="50"/>
      <c r="S211" s="50"/>
      <c r="T211" s="50"/>
      <c r="U211" s="50"/>
      <c r="V211" s="50"/>
      <c r="W211" s="50"/>
      <c r="X211" s="50"/>
      <c r="Y211" s="50"/>
      <c r="Z211" s="50"/>
    </row>
    <row r="212" spans="1:26" ht="15.75" customHeight="1" x14ac:dyDescent="0.35">
      <c r="A212" s="50"/>
      <c r="B212" s="53" t="s">
        <v>158</v>
      </c>
      <c r="C212" s="116" t="s">
        <v>109</v>
      </c>
      <c r="D212" s="145" t="str">
        <f t="shared" ref="D212:P212" si="164">IFERROR(D144/D112,"")</f>
        <v/>
      </c>
      <c r="E212" s="145" t="str">
        <f t="shared" si="164"/>
        <v/>
      </c>
      <c r="F212" s="145" t="str">
        <f t="shared" si="164"/>
        <v/>
      </c>
      <c r="G212" s="145" t="str">
        <f t="shared" si="164"/>
        <v/>
      </c>
      <c r="H212" s="145" t="str">
        <f t="shared" si="164"/>
        <v/>
      </c>
      <c r="I212" s="145" t="str">
        <f t="shared" si="164"/>
        <v/>
      </c>
      <c r="J212" s="145" t="str">
        <f t="shared" si="164"/>
        <v/>
      </c>
      <c r="K212" s="145" t="str">
        <f t="shared" si="164"/>
        <v/>
      </c>
      <c r="L212" s="145" t="str">
        <f t="shared" si="164"/>
        <v/>
      </c>
      <c r="M212" s="145" t="str">
        <f t="shared" si="164"/>
        <v/>
      </c>
      <c r="N212" s="145" t="str">
        <f t="shared" si="164"/>
        <v/>
      </c>
      <c r="O212" s="145" t="str">
        <f t="shared" si="164"/>
        <v/>
      </c>
      <c r="P212" s="146" t="str">
        <f t="shared" si="164"/>
        <v/>
      </c>
      <c r="Q212" s="50"/>
      <c r="R212" s="50"/>
      <c r="S212" s="50"/>
      <c r="T212" s="50"/>
      <c r="U212" s="50"/>
      <c r="V212" s="50"/>
      <c r="W212" s="50"/>
      <c r="X212" s="50"/>
      <c r="Y212" s="50"/>
      <c r="Z212" s="50"/>
    </row>
    <row r="213" spans="1:26" ht="15.75" customHeight="1" x14ac:dyDescent="0.35">
      <c r="A213" s="99"/>
      <c r="B213" s="198" t="s">
        <v>221</v>
      </c>
      <c r="C213" s="199" t="s">
        <v>109</v>
      </c>
      <c r="D213" s="200">
        <f t="shared" ref="D213:P213" si="165">IFERROR(D145/D113,"")</f>
        <v>7.436282669750569E-3</v>
      </c>
      <c r="E213" s="200">
        <f t="shared" si="165"/>
        <v>5.6722561028085278E-3</v>
      </c>
      <c r="F213" s="200">
        <f t="shared" si="165"/>
        <v>5.8004075479251051E-3</v>
      </c>
      <c r="G213" s="200">
        <f t="shared" si="165"/>
        <v>5.8276030287258253E-3</v>
      </c>
      <c r="H213" s="200">
        <f t="shared" si="165"/>
        <v>5.8549260168042488E-3</v>
      </c>
      <c r="I213" s="200">
        <f t="shared" si="165"/>
        <v>5.8823771099841739E-3</v>
      </c>
      <c r="J213" s="200">
        <f t="shared" si="165"/>
        <v>5.9099569088923373E-3</v>
      </c>
      <c r="K213" s="200">
        <f t="shared" si="165"/>
        <v>5.9376660169715399E-3</v>
      </c>
      <c r="L213" s="200">
        <f t="shared" si="165"/>
        <v>5.9655050404938464E-3</v>
      </c>
      <c r="M213" s="200">
        <f t="shared" si="165"/>
        <v>5.9934745885738576E-3</v>
      </c>
      <c r="N213" s="200">
        <f t="shared" si="165"/>
        <v>6.0215752731820399E-3</v>
      </c>
      <c r="O213" s="200">
        <f t="shared" si="165"/>
        <v>6.0498077091581115E-3</v>
      </c>
      <c r="P213" s="201">
        <f t="shared" si="165"/>
        <v>6.0781725142244926E-3</v>
      </c>
      <c r="Q213" s="99"/>
      <c r="R213" s="99"/>
      <c r="S213" s="99"/>
      <c r="T213" s="99"/>
      <c r="U213" s="99"/>
      <c r="V213" s="99"/>
      <c r="W213" s="99"/>
      <c r="X213" s="99"/>
      <c r="Y213" s="99"/>
      <c r="Z213" s="99"/>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202"/>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202"/>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3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3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3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3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3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35">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5.75" customHeight="1" x14ac:dyDescent="0.35">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5.75" customHeight="1" x14ac:dyDescent="0.35">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5.75" customHeight="1" x14ac:dyDescent="0.3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5.75" customHeight="1" x14ac:dyDescent="0.35">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5.75" customHeight="1" x14ac:dyDescent="0.35">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5.75" customHeight="1" x14ac:dyDescent="0.35">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5.75" customHeight="1" x14ac:dyDescent="0.35">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5.75" customHeight="1" x14ac:dyDescent="0.35">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5.75" customHeight="1" x14ac:dyDescent="0.35">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5.75" customHeight="1" x14ac:dyDescent="0.35">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5.75" customHeight="1" x14ac:dyDescent="0.35">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5.75" customHeight="1" x14ac:dyDescent="0.35">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5.75" customHeight="1" x14ac:dyDescent="0.3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5.75" customHeight="1" x14ac:dyDescent="0.35">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5.75" customHeight="1" x14ac:dyDescent="0.35">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5.75" customHeight="1" x14ac:dyDescent="0.35">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5.75" customHeight="1" x14ac:dyDescent="0.35">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5.75" customHeight="1" x14ac:dyDescent="0.35">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5.75" customHeight="1" x14ac:dyDescent="0.35">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5.75" customHeight="1" x14ac:dyDescent="0.35">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5.75" customHeight="1" x14ac:dyDescent="0.35">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5.75" customHeight="1" x14ac:dyDescent="0.35">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5.75" customHeight="1" x14ac:dyDescent="0.3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5.75" customHeight="1" x14ac:dyDescent="0.35">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5.75" customHeight="1" x14ac:dyDescent="0.35">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5.75" customHeight="1" x14ac:dyDescent="0.35">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5.75" customHeight="1" x14ac:dyDescent="0.35">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5.75" customHeight="1" x14ac:dyDescent="0.35">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5.75" customHeight="1" x14ac:dyDescent="0.35">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5.75" customHeight="1" x14ac:dyDescent="0.35">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5.75" customHeight="1" x14ac:dyDescent="0.35">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5.75" customHeight="1" x14ac:dyDescent="0.35">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5.75" customHeight="1" x14ac:dyDescent="0.3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5.75" customHeight="1" x14ac:dyDescent="0.35">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5.75" customHeight="1" x14ac:dyDescent="0.35">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5.75" customHeight="1" x14ac:dyDescent="0.35">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5.75" customHeight="1" x14ac:dyDescent="0.35">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5.75" customHeight="1" x14ac:dyDescent="0.35">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5.75" customHeight="1" x14ac:dyDescent="0.35">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5.75" customHeight="1" x14ac:dyDescent="0.35">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5.75" customHeight="1" x14ac:dyDescent="0.35">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5.75" customHeight="1" x14ac:dyDescent="0.35">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5.75" customHeight="1" x14ac:dyDescent="0.3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5.75" customHeight="1" x14ac:dyDescent="0.35">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5.75" customHeight="1" x14ac:dyDescent="0.35">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5.75" customHeight="1" x14ac:dyDescent="0.35">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5.75" customHeight="1" x14ac:dyDescent="0.35">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5.75" customHeight="1" x14ac:dyDescent="0.35">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5.75" customHeight="1" x14ac:dyDescent="0.35">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5.75" customHeight="1" x14ac:dyDescent="0.35">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5.75" customHeight="1" x14ac:dyDescent="0.35">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5.75" customHeight="1" x14ac:dyDescent="0.35">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5.75" customHeight="1" x14ac:dyDescent="0.3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5.75" customHeight="1" x14ac:dyDescent="0.35">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5.75" customHeight="1" x14ac:dyDescent="0.35">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5.75" customHeight="1" x14ac:dyDescent="0.35">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5.75" customHeight="1" x14ac:dyDescent="0.35">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5.75" customHeight="1" x14ac:dyDescent="0.35">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5.75" customHeight="1" x14ac:dyDescent="0.35">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5.75" customHeight="1" x14ac:dyDescent="0.35">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5.75" customHeight="1" x14ac:dyDescent="0.35">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5.75" customHeight="1" x14ac:dyDescent="0.35">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5.75" customHeight="1" x14ac:dyDescent="0.3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5.75" customHeight="1" x14ac:dyDescent="0.35">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5.75" customHeight="1" x14ac:dyDescent="0.35">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5.75" customHeight="1" x14ac:dyDescent="0.35">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5.75" customHeight="1" x14ac:dyDescent="0.35">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5.75" customHeight="1" x14ac:dyDescent="0.35">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5.75" customHeight="1" x14ac:dyDescent="0.35">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5.75" customHeight="1" x14ac:dyDescent="0.35">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5.75" customHeight="1" x14ac:dyDescent="0.35">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5.75" customHeight="1" x14ac:dyDescent="0.35">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5.75" customHeight="1" x14ac:dyDescent="0.3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5.75" customHeight="1" x14ac:dyDescent="0.35">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5.75" customHeight="1" x14ac:dyDescent="0.35">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5.75" customHeight="1" x14ac:dyDescent="0.35">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5.75" customHeight="1" x14ac:dyDescent="0.35">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5.75" customHeight="1" x14ac:dyDescent="0.35">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5.75" customHeight="1" x14ac:dyDescent="0.35">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5.75" customHeight="1" x14ac:dyDescent="0.35">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5.75" customHeight="1" x14ac:dyDescent="0.35">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5.75" customHeight="1" x14ac:dyDescent="0.35">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5.75" customHeight="1" x14ac:dyDescent="0.35">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5.75" customHeight="1" x14ac:dyDescent="0.35">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5.75" customHeight="1" x14ac:dyDescent="0.35">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5.75" customHeight="1" x14ac:dyDescent="0.35">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5.75" customHeight="1" x14ac:dyDescent="0.35">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5.75" customHeight="1" x14ac:dyDescent="0.35">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5.75" customHeight="1" x14ac:dyDescent="0.35">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5.75" customHeight="1" x14ac:dyDescent="0.35">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5.75" customHeight="1" x14ac:dyDescent="0.35">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5.75" customHeight="1" x14ac:dyDescent="0.3"/>
    <row r="355" spans="1:26" ht="15.75" customHeight="1" x14ac:dyDescent="0.3"/>
    <row r="356" spans="1:26" ht="15.75" customHeight="1" x14ac:dyDescent="0.3"/>
    <row r="357" spans="1:26" ht="15.75" customHeight="1" x14ac:dyDescent="0.3"/>
    <row r="358" spans="1:26" ht="15.75" customHeight="1" x14ac:dyDescent="0.3"/>
    <row r="359" spans="1:26" ht="15.75" customHeight="1" x14ac:dyDescent="0.3"/>
    <row r="360" spans="1:26" ht="15.75" customHeight="1" x14ac:dyDescent="0.3"/>
    <row r="361" spans="1:26" ht="15.75" customHeight="1" x14ac:dyDescent="0.3"/>
    <row r="362" spans="1:26" ht="15.75" customHeight="1" x14ac:dyDescent="0.3"/>
    <row r="363" spans="1:26" ht="15.75" customHeight="1" x14ac:dyDescent="0.3"/>
    <row r="364" spans="1:26" ht="15.75" customHeight="1" x14ac:dyDescent="0.3"/>
    <row r="365" spans="1:26" ht="15.75" customHeight="1" x14ac:dyDescent="0.3"/>
    <row r="366" spans="1:26" ht="15.75" customHeight="1" x14ac:dyDescent="0.3"/>
    <row r="367" spans="1:26" ht="15.75" customHeight="1" x14ac:dyDescent="0.3"/>
    <row r="368" spans="1:26"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9">
    <mergeCell ref="D96:F96"/>
    <mergeCell ref="D196:F196"/>
    <mergeCell ref="B4:D4"/>
    <mergeCell ref="B5:D5"/>
    <mergeCell ref="B6:D6"/>
    <mergeCell ref="B7:D7"/>
    <mergeCell ref="B8:D8"/>
    <mergeCell ref="E8:G8"/>
    <mergeCell ref="G11:H11"/>
  </mergeCells>
  <dataValidations count="1">
    <dataValidation type="list" allowBlank="1" showErrorMessage="1" sqref="D13" xr:uid="{00000000-0002-0000-0700-000000000000}">
      <formula1>"High,Medium,Low"</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outlinePr summaryBelow="0" summaryRight="0"/>
  </sheetPr>
  <dimension ref="A1:Z951"/>
  <sheetViews>
    <sheetView workbookViewId="0"/>
  </sheetViews>
  <sheetFormatPr defaultColWidth="14.3984375" defaultRowHeight="15" customHeight="1" x14ac:dyDescent="0.3"/>
  <cols>
    <col min="1" max="1" width="12.69921875" customWidth="1"/>
    <col min="2" max="2" width="81" customWidth="1"/>
    <col min="3" max="3" width="23.296875" customWidth="1"/>
    <col min="4" max="4" width="15.8984375" customWidth="1"/>
    <col min="5" max="5" width="11.8984375" customWidth="1"/>
    <col min="7" max="9" width="14.09765625" customWidth="1"/>
    <col min="10" max="10" width="18.59765625" customWidth="1"/>
    <col min="11" max="11" width="17.69921875" customWidth="1"/>
    <col min="12" max="12" width="17.3984375" customWidth="1"/>
    <col min="13" max="13" width="16.3984375" customWidth="1"/>
    <col min="14" max="14" width="16.296875" customWidth="1"/>
    <col min="15" max="15" width="16.3984375" customWidth="1"/>
    <col min="16" max="16" width="15.09765625" customWidth="1"/>
    <col min="17" max="26" width="12.69921875" customWidth="1"/>
  </cols>
  <sheetData>
    <row r="1" spans="1:26" ht="15.5" x14ac:dyDescent="0.3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15.5" x14ac:dyDescent="0.35">
      <c r="A2" s="50"/>
      <c r="B2" s="31" t="s">
        <v>74</v>
      </c>
      <c r="C2" s="32"/>
      <c r="D2" s="203" t="s">
        <v>141</v>
      </c>
      <c r="E2" s="77"/>
      <c r="F2" s="79"/>
      <c r="G2" s="34" t="s">
        <v>54</v>
      </c>
      <c r="H2" s="32"/>
      <c r="I2" s="32"/>
      <c r="J2" s="32"/>
      <c r="K2" s="32"/>
      <c r="L2" s="50"/>
      <c r="M2" s="50"/>
      <c r="N2" s="50"/>
      <c r="O2" s="50"/>
      <c r="P2" s="50"/>
      <c r="Q2" s="50"/>
      <c r="R2" s="50"/>
      <c r="S2" s="50"/>
      <c r="T2" s="50"/>
      <c r="U2" s="50"/>
      <c r="V2" s="50"/>
      <c r="W2" s="50"/>
      <c r="X2" s="50"/>
      <c r="Y2" s="50"/>
      <c r="Z2" s="50"/>
    </row>
    <row r="3" spans="1:26" ht="15.5" x14ac:dyDescent="0.35">
      <c r="A3" s="50"/>
      <c r="B3" s="31"/>
      <c r="C3" s="32"/>
      <c r="D3" s="78" t="s">
        <v>222</v>
      </c>
      <c r="E3" s="79"/>
      <c r="F3" s="79"/>
      <c r="G3" s="32"/>
      <c r="H3" s="32"/>
      <c r="I3" s="32"/>
      <c r="J3" s="32"/>
      <c r="K3" s="80"/>
      <c r="L3" s="50"/>
      <c r="M3" s="50"/>
      <c r="N3" s="50"/>
      <c r="O3" s="50"/>
      <c r="P3" s="50"/>
      <c r="Q3" s="50"/>
      <c r="R3" s="50"/>
      <c r="S3" s="50"/>
      <c r="T3" s="50"/>
      <c r="U3" s="50"/>
      <c r="V3" s="50"/>
      <c r="W3" s="50"/>
      <c r="X3" s="50"/>
      <c r="Y3" s="50"/>
      <c r="Z3" s="50"/>
    </row>
    <row r="4" spans="1:26" ht="15.5" x14ac:dyDescent="0.35">
      <c r="A4" s="50"/>
      <c r="B4" s="554" t="s">
        <v>142</v>
      </c>
      <c r="C4" s="552"/>
      <c r="D4" s="553"/>
      <c r="E4" s="151"/>
      <c r="F4" s="151"/>
      <c r="G4" s="152"/>
      <c r="H4" s="152"/>
      <c r="I4" s="152"/>
      <c r="J4" s="153"/>
      <c r="K4" s="32"/>
      <c r="L4" s="50"/>
      <c r="M4" s="50"/>
      <c r="N4" s="50"/>
      <c r="O4" s="50"/>
      <c r="P4" s="50"/>
      <c r="Q4" s="50"/>
      <c r="R4" s="50"/>
      <c r="S4" s="50"/>
      <c r="T4" s="50"/>
      <c r="U4" s="50"/>
      <c r="V4" s="50"/>
      <c r="W4" s="50"/>
      <c r="X4" s="50"/>
      <c r="Y4" s="50"/>
      <c r="Z4" s="50"/>
    </row>
    <row r="5" spans="1:26" ht="15.5" x14ac:dyDescent="0.35">
      <c r="A5" s="50"/>
      <c r="B5" s="556" t="s">
        <v>79</v>
      </c>
      <c r="C5" s="546"/>
      <c r="D5" s="534"/>
      <c r="E5" s="81"/>
      <c r="F5" s="81"/>
      <c r="G5" s="81"/>
      <c r="H5" s="81"/>
      <c r="I5" s="81"/>
      <c r="J5" s="82"/>
      <c r="K5" s="32"/>
      <c r="L5" s="50"/>
      <c r="M5" s="50"/>
      <c r="N5" s="50"/>
      <c r="O5" s="50"/>
      <c r="P5" s="50"/>
      <c r="Q5" s="50"/>
      <c r="R5" s="50"/>
      <c r="S5" s="50"/>
      <c r="T5" s="50"/>
      <c r="U5" s="50"/>
      <c r="V5" s="50"/>
      <c r="W5" s="50"/>
      <c r="X5" s="50"/>
      <c r="Y5" s="50"/>
      <c r="Z5" s="50"/>
    </row>
    <row r="6" spans="1:26" ht="40.5" customHeight="1" x14ac:dyDescent="0.35">
      <c r="A6" s="50"/>
      <c r="B6" s="568" t="s">
        <v>223</v>
      </c>
      <c r="C6" s="560"/>
      <c r="D6" s="560"/>
      <c r="E6" s="560"/>
      <c r="F6" s="560"/>
      <c r="G6" s="560"/>
      <c r="H6" s="560"/>
      <c r="I6" s="560"/>
      <c r="J6" s="561"/>
      <c r="K6" s="32"/>
      <c r="L6" s="50"/>
      <c r="M6" s="50"/>
      <c r="N6" s="50"/>
      <c r="O6" s="50"/>
      <c r="P6" s="50"/>
      <c r="Q6" s="50"/>
      <c r="R6" s="50"/>
      <c r="S6" s="50"/>
      <c r="T6" s="50"/>
      <c r="U6" s="50"/>
      <c r="V6" s="50"/>
      <c r="W6" s="50"/>
      <c r="X6" s="50"/>
      <c r="Y6" s="50"/>
      <c r="Z6" s="50"/>
    </row>
    <row r="7" spans="1:26" ht="21.75" customHeight="1" x14ac:dyDescent="0.35">
      <c r="A7" s="50"/>
      <c r="B7" s="556" t="s">
        <v>81</v>
      </c>
      <c r="C7" s="546"/>
      <c r="D7" s="534"/>
      <c r="E7" s="81"/>
      <c r="F7" s="81"/>
      <c r="G7" s="81"/>
      <c r="H7" s="81"/>
      <c r="I7" s="81"/>
      <c r="J7" s="82"/>
      <c r="K7" s="32"/>
      <c r="L7" s="50"/>
      <c r="M7" s="50"/>
      <c r="N7" s="50"/>
      <c r="O7" s="50"/>
      <c r="P7" s="50"/>
      <c r="Q7" s="50"/>
      <c r="R7" s="50"/>
      <c r="S7" s="50"/>
      <c r="T7" s="50"/>
      <c r="U7" s="50"/>
      <c r="V7" s="50"/>
      <c r="W7" s="50"/>
      <c r="X7" s="50"/>
      <c r="Y7" s="50"/>
      <c r="Z7" s="50"/>
    </row>
    <row r="8" spans="1:26" ht="54" customHeight="1" x14ac:dyDescent="0.35">
      <c r="A8" s="50"/>
      <c r="B8" s="577" t="s">
        <v>224</v>
      </c>
      <c r="C8" s="538"/>
      <c r="D8" s="538"/>
      <c r="E8" s="538"/>
      <c r="F8" s="538"/>
      <c r="G8" s="538"/>
      <c r="H8" s="538"/>
      <c r="I8" s="538"/>
      <c r="J8" s="541"/>
      <c r="K8" s="32"/>
      <c r="L8" s="50"/>
      <c r="M8" s="50"/>
      <c r="N8" s="50"/>
      <c r="O8" s="50"/>
      <c r="P8" s="50"/>
      <c r="Q8" s="50"/>
      <c r="R8" s="50"/>
      <c r="S8" s="50"/>
      <c r="T8" s="50"/>
      <c r="U8" s="50"/>
      <c r="V8" s="50"/>
      <c r="W8" s="50"/>
      <c r="X8" s="50"/>
      <c r="Y8" s="50"/>
      <c r="Z8" s="50"/>
    </row>
    <row r="9" spans="1:26" ht="15" customHeight="1" x14ac:dyDescent="0.35">
      <c r="A9" s="50"/>
      <c r="B9" s="50"/>
      <c r="C9" s="50"/>
      <c r="D9" s="50"/>
      <c r="E9" s="50"/>
      <c r="F9" s="50"/>
      <c r="G9" s="50"/>
      <c r="H9" s="50"/>
      <c r="I9" s="50"/>
      <c r="J9" s="50"/>
      <c r="K9" s="50"/>
      <c r="L9" s="50"/>
      <c r="M9" s="50"/>
      <c r="N9" s="50"/>
      <c r="O9" s="50"/>
      <c r="P9" s="50"/>
      <c r="Q9" s="50"/>
      <c r="R9" s="50"/>
      <c r="S9" s="50"/>
      <c r="T9" s="50"/>
      <c r="U9" s="50"/>
      <c r="V9" s="50"/>
      <c r="W9" s="50"/>
      <c r="X9" s="50"/>
      <c r="Y9" s="50"/>
      <c r="Z9" s="50"/>
    </row>
    <row r="10" spans="1:26" ht="15" customHeight="1" x14ac:dyDescent="0.35">
      <c r="A10" s="50"/>
      <c r="B10" s="83" t="s">
        <v>85</v>
      </c>
      <c r="C10" s="84"/>
      <c r="D10" s="163" t="s">
        <v>143</v>
      </c>
      <c r="E10" s="84"/>
      <c r="F10" s="84"/>
      <c r="G10" s="84" t="s">
        <v>87</v>
      </c>
      <c r="H10" s="84"/>
      <c r="I10" s="85"/>
      <c r="J10" s="85"/>
      <c r="K10" s="85"/>
      <c r="L10" s="86"/>
      <c r="M10" s="50"/>
      <c r="N10" s="50"/>
      <c r="O10" s="50"/>
      <c r="P10" s="50"/>
      <c r="Q10" s="50"/>
      <c r="R10" s="50"/>
      <c r="S10" s="50"/>
      <c r="T10" s="50"/>
      <c r="U10" s="50"/>
      <c r="V10" s="50"/>
      <c r="W10" s="50"/>
      <c r="X10" s="50"/>
      <c r="Y10" s="50"/>
      <c r="Z10" s="50"/>
    </row>
    <row r="11" spans="1:26" ht="15.75" customHeight="1" x14ac:dyDescent="0.35">
      <c r="A11" s="50"/>
      <c r="B11" s="87" t="s">
        <v>88</v>
      </c>
      <c r="C11" s="88"/>
      <c r="D11" s="43" t="s">
        <v>225</v>
      </c>
      <c r="E11" s="567" t="s">
        <v>226</v>
      </c>
      <c r="F11" s="546"/>
      <c r="G11" s="546"/>
      <c r="H11" s="546"/>
      <c r="I11" s="546"/>
      <c r="J11" s="534"/>
      <c r="K11" s="91"/>
      <c r="L11" s="92"/>
      <c r="M11" s="50"/>
      <c r="N11" s="50"/>
      <c r="O11" s="50"/>
      <c r="P11" s="50"/>
      <c r="Q11" s="50"/>
      <c r="R11" s="50"/>
      <c r="S11" s="50"/>
      <c r="T11" s="50"/>
      <c r="U11" s="50"/>
      <c r="V11" s="50"/>
      <c r="W11" s="50"/>
      <c r="X11" s="50"/>
      <c r="Y11" s="50"/>
      <c r="Z11" s="50"/>
    </row>
    <row r="12" spans="1:26" ht="15.75" customHeight="1" x14ac:dyDescent="0.35">
      <c r="A12" s="50"/>
      <c r="B12" s="89" t="s">
        <v>93</v>
      </c>
      <c r="C12" s="88" t="s">
        <v>94</v>
      </c>
      <c r="D12" s="90">
        <v>1000</v>
      </c>
      <c r="E12" s="204"/>
      <c r="F12" s="204"/>
      <c r="G12" s="91"/>
      <c r="H12" s="91"/>
      <c r="I12" s="91"/>
      <c r="J12" s="91"/>
      <c r="K12" s="91"/>
      <c r="L12" s="92"/>
      <c r="M12" s="50"/>
      <c r="N12" s="50"/>
      <c r="O12" s="50"/>
      <c r="P12" s="50"/>
      <c r="Q12" s="50"/>
      <c r="R12" s="50"/>
      <c r="S12" s="50"/>
      <c r="T12" s="50"/>
      <c r="U12" s="50"/>
      <c r="V12" s="50"/>
      <c r="W12" s="50"/>
      <c r="X12" s="50"/>
      <c r="Y12" s="50"/>
      <c r="Z12" s="50"/>
    </row>
    <row r="13" spans="1:26" ht="15.75" customHeight="1" x14ac:dyDescent="0.35">
      <c r="A13" s="50"/>
      <c r="B13" s="89" t="s">
        <v>95</v>
      </c>
      <c r="C13" s="88" t="s">
        <v>94</v>
      </c>
      <c r="D13" s="90">
        <v>1000</v>
      </c>
      <c r="E13" s="204"/>
      <c r="F13" s="204"/>
      <c r="G13" s="91"/>
      <c r="H13" s="91"/>
      <c r="I13" s="91"/>
      <c r="J13" s="91"/>
      <c r="K13" s="91"/>
      <c r="L13" s="92"/>
      <c r="M13" s="50"/>
      <c r="N13" s="50"/>
      <c r="O13" s="50"/>
      <c r="P13" s="50"/>
      <c r="Q13" s="50"/>
      <c r="R13" s="50"/>
      <c r="S13" s="50"/>
      <c r="T13" s="50"/>
      <c r="U13" s="50"/>
      <c r="V13" s="50"/>
      <c r="W13" s="50"/>
      <c r="X13" s="50"/>
      <c r="Y13" s="50"/>
      <c r="Z13" s="50"/>
    </row>
    <row r="14" spans="1:26" ht="15.75" customHeight="1" x14ac:dyDescent="0.35">
      <c r="A14" s="50"/>
      <c r="B14" s="89" t="s">
        <v>96</v>
      </c>
      <c r="C14" s="88" t="s">
        <v>94</v>
      </c>
      <c r="D14" s="90">
        <v>1000</v>
      </c>
      <c r="E14" s="204"/>
      <c r="F14" s="204"/>
      <c r="G14" s="91"/>
      <c r="H14" s="91"/>
      <c r="I14" s="91"/>
      <c r="J14" s="91"/>
      <c r="K14" s="91"/>
      <c r="L14" s="92"/>
      <c r="M14" s="50"/>
      <c r="N14" s="50"/>
      <c r="O14" s="50"/>
      <c r="P14" s="50"/>
      <c r="Q14" s="50"/>
      <c r="R14" s="50"/>
      <c r="S14" s="50"/>
      <c r="T14" s="50"/>
      <c r="U14" s="50"/>
      <c r="V14" s="50"/>
      <c r="W14" s="50"/>
      <c r="X14" s="50"/>
      <c r="Y14" s="50"/>
      <c r="Z14" s="50"/>
    </row>
    <row r="15" spans="1:26" ht="15.75" customHeight="1" x14ac:dyDescent="0.35">
      <c r="A15" s="50"/>
      <c r="B15" s="89" t="s">
        <v>97</v>
      </c>
      <c r="C15" s="88" t="s">
        <v>94</v>
      </c>
      <c r="D15" s="90">
        <v>1000</v>
      </c>
      <c r="E15" s="204"/>
      <c r="F15" s="204"/>
      <c r="G15" s="91"/>
      <c r="H15" s="91"/>
      <c r="I15" s="91"/>
      <c r="J15" s="91"/>
      <c r="K15" s="91"/>
      <c r="L15" s="92"/>
      <c r="M15" s="50"/>
      <c r="N15" s="50"/>
      <c r="O15" s="50"/>
      <c r="P15" s="50"/>
      <c r="Q15" s="50"/>
      <c r="R15" s="50"/>
      <c r="S15" s="50"/>
      <c r="T15" s="50"/>
      <c r="U15" s="50"/>
      <c r="V15" s="50"/>
      <c r="W15" s="50"/>
      <c r="X15" s="50"/>
      <c r="Y15" s="50"/>
      <c r="Z15" s="50"/>
    </row>
    <row r="16" spans="1:26" ht="15.75" customHeight="1" x14ac:dyDescent="0.35">
      <c r="A16" s="50"/>
      <c r="B16" s="89" t="s">
        <v>98</v>
      </c>
      <c r="C16" s="88" t="s">
        <v>94</v>
      </c>
      <c r="D16" s="90">
        <v>1000</v>
      </c>
      <c r="E16" s="204"/>
      <c r="F16" s="204"/>
      <c r="G16" s="91"/>
      <c r="H16" s="91"/>
      <c r="I16" s="91"/>
      <c r="J16" s="91"/>
      <c r="K16" s="91"/>
      <c r="L16" s="92"/>
      <c r="M16" s="50"/>
      <c r="N16" s="50"/>
      <c r="O16" s="50"/>
      <c r="P16" s="50"/>
      <c r="Q16" s="50"/>
      <c r="R16" s="50"/>
      <c r="S16" s="50"/>
      <c r="T16" s="50"/>
      <c r="U16" s="50"/>
      <c r="V16" s="50"/>
      <c r="W16" s="50"/>
      <c r="X16" s="50"/>
      <c r="Y16" s="50"/>
      <c r="Z16" s="50"/>
    </row>
    <row r="17" spans="1:26" ht="15.75" customHeight="1" x14ac:dyDescent="0.35">
      <c r="A17" s="50"/>
      <c r="B17" s="89" t="s">
        <v>99</v>
      </c>
      <c r="C17" s="88" t="s">
        <v>94</v>
      </c>
      <c r="D17" s="90">
        <v>1000</v>
      </c>
      <c r="E17" s="204"/>
      <c r="F17" s="204"/>
      <c r="G17" s="91"/>
      <c r="H17" s="91"/>
      <c r="I17" s="91"/>
      <c r="J17" s="91"/>
      <c r="K17" s="91"/>
      <c r="L17" s="92"/>
      <c r="M17" s="50"/>
      <c r="N17" s="50"/>
      <c r="O17" s="50"/>
      <c r="P17" s="50"/>
      <c r="Q17" s="50"/>
      <c r="R17" s="50"/>
      <c r="S17" s="50"/>
      <c r="T17" s="50"/>
      <c r="U17" s="50"/>
      <c r="V17" s="50"/>
      <c r="W17" s="50"/>
      <c r="X17" s="50"/>
      <c r="Y17" s="50"/>
      <c r="Z17" s="50"/>
    </row>
    <row r="18" spans="1:26" ht="15.75" customHeight="1" x14ac:dyDescent="0.35">
      <c r="A18" s="50"/>
      <c r="B18" s="89" t="s">
        <v>100</v>
      </c>
      <c r="C18" s="88" t="s">
        <v>94</v>
      </c>
      <c r="D18" s="90">
        <v>1000</v>
      </c>
      <c r="E18" s="204"/>
      <c r="F18" s="204"/>
      <c r="G18" s="91"/>
      <c r="H18" s="91"/>
      <c r="I18" s="91"/>
      <c r="J18" s="91"/>
      <c r="K18" s="91"/>
      <c r="L18" s="92"/>
      <c r="M18" s="50"/>
      <c r="N18" s="50"/>
      <c r="O18" s="50"/>
      <c r="P18" s="50"/>
      <c r="Q18" s="50"/>
      <c r="R18" s="50"/>
      <c r="S18" s="50"/>
      <c r="T18" s="50"/>
      <c r="U18" s="50"/>
      <c r="V18" s="50"/>
      <c r="W18" s="50"/>
      <c r="X18" s="50"/>
      <c r="Y18" s="50"/>
      <c r="Z18" s="50"/>
    </row>
    <row r="19" spans="1:26" ht="15.75" customHeight="1" x14ac:dyDescent="0.35">
      <c r="A19" s="50"/>
      <c r="B19" s="89" t="s">
        <v>101</v>
      </c>
      <c r="C19" s="88" t="s">
        <v>94</v>
      </c>
      <c r="D19" s="90">
        <v>1000</v>
      </c>
      <c r="E19" s="204"/>
      <c r="F19" s="204"/>
      <c r="G19" s="91"/>
      <c r="H19" s="91"/>
      <c r="I19" s="91"/>
      <c r="J19" s="91"/>
      <c r="K19" s="91"/>
      <c r="L19" s="92"/>
      <c r="M19" s="50"/>
      <c r="N19" s="50"/>
      <c r="O19" s="50"/>
      <c r="P19" s="50"/>
      <c r="Q19" s="50"/>
      <c r="R19" s="50"/>
      <c r="S19" s="50"/>
      <c r="T19" s="50"/>
      <c r="U19" s="50"/>
      <c r="V19" s="50"/>
      <c r="W19" s="50"/>
      <c r="X19" s="50"/>
      <c r="Y19" s="50"/>
      <c r="Z19" s="50"/>
    </row>
    <row r="20" spans="1:26" ht="15.75" customHeight="1" x14ac:dyDescent="0.35">
      <c r="A20" s="50"/>
      <c r="B20" s="89" t="s">
        <v>102</v>
      </c>
      <c r="C20" s="88" t="s">
        <v>94</v>
      </c>
      <c r="D20" s="90">
        <v>1000</v>
      </c>
      <c r="E20" s="204"/>
      <c r="F20" s="204"/>
      <c r="G20" s="91"/>
      <c r="H20" s="91"/>
      <c r="I20" s="91"/>
      <c r="J20" s="91"/>
      <c r="K20" s="91"/>
      <c r="L20" s="92"/>
      <c r="M20" s="50"/>
      <c r="N20" s="50"/>
      <c r="O20" s="50"/>
      <c r="P20" s="50"/>
      <c r="Q20" s="50"/>
      <c r="R20" s="50"/>
      <c r="S20" s="50"/>
      <c r="T20" s="50"/>
      <c r="U20" s="50"/>
      <c r="V20" s="50"/>
      <c r="W20" s="50"/>
      <c r="X20" s="50"/>
      <c r="Y20" s="50"/>
      <c r="Z20" s="50"/>
    </row>
    <row r="21" spans="1:26" ht="15.75" customHeight="1" x14ac:dyDescent="0.35">
      <c r="A21" s="50"/>
      <c r="B21" s="93" t="s">
        <v>65</v>
      </c>
      <c r="C21" s="88" t="s">
        <v>94</v>
      </c>
      <c r="D21" s="94">
        <f>SUM(D12:D20)</f>
        <v>9000</v>
      </c>
      <c r="E21" s="94"/>
      <c r="F21" s="94"/>
      <c r="G21" s="91"/>
      <c r="H21" s="91"/>
      <c r="I21" s="91"/>
      <c r="J21" s="91"/>
      <c r="K21" s="91"/>
      <c r="L21" s="92"/>
      <c r="M21" s="50"/>
      <c r="N21" s="50"/>
      <c r="O21" s="50"/>
      <c r="P21" s="50"/>
      <c r="Q21" s="50"/>
      <c r="R21" s="50"/>
      <c r="S21" s="50"/>
      <c r="T21" s="50"/>
      <c r="U21" s="50"/>
      <c r="V21" s="50"/>
      <c r="W21" s="50"/>
      <c r="X21" s="50"/>
      <c r="Y21" s="50"/>
      <c r="Z21" s="50"/>
    </row>
    <row r="22" spans="1:26" ht="32.25" customHeight="1" x14ac:dyDescent="0.35">
      <c r="A22" s="50"/>
      <c r="B22" s="87" t="s">
        <v>227</v>
      </c>
      <c r="C22" s="88"/>
      <c r="D22" s="43" t="s">
        <v>89</v>
      </c>
      <c r="E22" s="42" t="s">
        <v>90</v>
      </c>
      <c r="F22" s="42" t="s">
        <v>91</v>
      </c>
      <c r="G22" s="563" t="s">
        <v>228</v>
      </c>
      <c r="H22" s="546"/>
      <c r="I22" s="546"/>
      <c r="J22" s="546"/>
      <c r="K22" s="546"/>
      <c r="L22" s="558"/>
      <c r="M22" s="50"/>
      <c r="N22" s="50"/>
      <c r="O22" s="50"/>
      <c r="P22" s="50"/>
      <c r="Q22" s="50"/>
      <c r="R22" s="50"/>
      <c r="S22" s="50"/>
      <c r="T22" s="50"/>
      <c r="U22" s="50"/>
      <c r="V22" s="50"/>
      <c r="W22" s="50"/>
      <c r="X22" s="50"/>
      <c r="Y22" s="50"/>
      <c r="Z22" s="50"/>
    </row>
    <row r="23" spans="1:26" ht="15.75" customHeight="1" x14ac:dyDescent="0.35">
      <c r="A23" s="50"/>
      <c r="B23" s="89" t="s">
        <v>93</v>
      </c>
      <c r="C23" s="88" t="s">
        <v>109</v>
      </c>
      <c r="D23" s="97">
        <v>0.01</v>
      </c>
      <c r="E23" s="97">
        <v>0</v>
      </c>
      <c r="F23" s="97">
        <v>0</v>
      </c>
      <c r="G23" s="91"/>
      <c r="H23" s="91"/>
      <c r="I23" s="91"/>
      <c r="J23" s="91"/>
      <c r="K23" s="91"/>
      <c r="L23" s="92"/>
      <c r="M23" s="50"/>
      <c r="N23" s="50"/>
      <c r="O23" s="50"/>
      <c r="P23" s="50"/>
      <c r="Q23" s="50"/>
      <c r="R23" s="50"/>
      <c r="S23" s="50"/>
      <c r="T23" s="50"/>
      <c r="U23" s="50"/>
      <c r="V23" s="50"/>
      <c r="W23" s="50"/>
      <c r="X23" s="50"/>
      <c r="Y23" s="50"/>
      <c r="Z23" s="50"/>
    </row>
    <row r="24" spans="1:26" ht="15.75" customHeight="1" x14ac:dyDescent="0.35">
      <c r="A24" s="50"/>
      <c r="B24" s="89" t="s">
        <v>95</v>
      </c>
      <c r="C24" s="88" t="s">
        <v>109</v>
      </c>
      <c r="D24" s="97">
        <v>0.01</v>
      </c>
      <c r="E24" s="97">
        <v>0</v>
      </c>
      <c r="F24" s="97">
        <v>0</v>
      </c>
      <c r="G24" s="91"/>
      <c r="H24" s="91"/>
      <c r="I24" s="91"/>
      <c r="J24" s="91"/>
      <c r="K24" s="91"/>
      <c r="L24" s="92"/>
      <c r="M24" s="50"/>
      <c r="N24" s="50"/>
      <c r="O24" s="50"/>
      <c r="P24" s="50"/>
      <c r="Q24" s="50"/>
      <c r="R24" s="50"/>
      <c r="S24" s="50"/>
      <c r="T24" s="50"/>
      <c r="U24" s="50"/>
      <c r="V24" s="50"/>
      <c r="W24" s="50"/>
      <c r="X24" s="50"/>
      <c r="Y24" s="50"/>
      <c r="Z24" s="50"/>
    </row>
    <row r="25" spans="1:26" ht="15.75" customHeight="1" x14ac:dyDescent="0.35">
      <c r="A25" s="50"/>
      <c r="B25" s="89" t="s">
        <v>96</v>
      </c>
      <c r="C25" s="88" t="s">
        <v>109</v>
      </c>
      <c r="D25" s="97">
        <v>0</v>
      </c>
      <c r="E25" s="97">
        <v>0.01</v>
      </c>
      <c r="F25" s="97">
        <v>0</v>
      </c>
      <c r="G25" s="91"/>
      <c r="H25" s="91"/>
      <c r="I25" s="91"/>
      <c r="J25" s="91"/>
      <c r="K25" s="91"/>
      <c r="L25" s="92"/>
      <c r="M25" s="50"/>
      <c r="N25" s="50"/>
      <c r="O25" s="50"/>
      <c r="P25" s="50"/>
      <c r="Q25" s="50"/>
      <c r="R25" s="50"/>
      <c r="S25" s="50"/>
      <c r="T25" s="50"/>
      <c r="U25" s="50"/>
      <c r="V25" s="50"/>
      <c r="W25" s="50"/>
      <c r="X25" s="50"/>
      <c r="Y25" s="50"/>
      <c r="Z25" s="50"/>
    </row>
    <row r="26" spans="1:26" ht="15.75" customHeight="1" x14ac:dyDescent="0.35">
      <c r="A26" s="50"/>
      <c r="B26" s="89" t="s">
        <v>97</v>
      </c>
      <c r="C26" s="88" t="s">
        <v>109</v>
      </c>
      <c r="D26" s="97">
        <v>0.01</v>
      </c>
      <c r="E26" s="97">
        <v>0</v>
      </c>
      <c r="F26" s="97">
        <v>0</v>
      </c>
      <c r="G26" s="91"/>
      <c r="H26" s="91"/>
      <c r="I26" s="91"/>
      <c r="J26" s="91"/>
      <c r="K26" s="91"/>
      <c r="L26" s="92"/>
      <c r="M26" s="50"/>
      <c r="N26" s="50"/>
      <c r="O26" s="50"/>
      <c r="P26" s="50"/>
      <c r="Q26" s="50"/>
      <c r="R26" s="50"/>
      <c r="S26" s="50"/>
      <c r="T26" s="50"/>
      <c r="U26" s="50"/>
      <c r="V26" s="50"/>
      <c r="W26" s="50"/>
      <c r="X26" s="50"/>
      <c r="Y26" s="50"/>
      <c r="Z26" s="50"/>
    </row>
    <row r="27" spans="1:26" ht="15.75" customHeight="1" x14ac:dyDescent="0.35">
      <c r="A27" s="50"/>
      <c r="B27" s="89" t="s">
        <v>98</v>
      </c>
      <c r="C27" s="88" t="s">
        <v>109</v>
      </c>
      <c r="D27" s="97">
        <v>0.01</v>
      </c>
      <c r="E27" s="97">
        <v>0</v>
      </c>
      <c r="F27" s="97">
        <v>0</v>
      </c>
      <c r="G27" s="91"/>
      <c r="H27" s="91"/>
      <c r="I27" s="91"/>
      <c r="J27" s="91"/>
      <c r="K27" s="91"/>
      <c r="L27" s="92"/>
      <c r="M27" s="50"/>
      <c r="N27" s="50"/>
      <c r="O27" s="50"/>
      <c r="P27" s="50"/>
      <c r="Q27" s="50"/>
      <c r="R27" s="50"/>
      <c r="S27" s="50"/>
      <c r="T27" s="50"/>
      <c r="U27" s="50"/>
      <c r="V27" s="50"/>
      <c r="W27" s="50"/>
      <c r="X27" s="50"/>
      <c r="Y27" s="50"/>
      <c r="Z27" s="50"/>
    </row>
    <row r="28" spans="1:26" ht="15.75" customHeight="1" x14ac:dyDescent="0.35">
      <c r="A28" s="50"/>
      <c r="B28" s="89" t="s">
        <v>99</v>
      </c>
      <c r="C28" s="88" t="s">
        <v>109</v>
      </c>
      <c r="D28" s="97">
        <v>0</v>
      </c>
      <c r="E28" s="97">
        <v>0</v>
      </c>
      <c r="F28" s="97">
        <v>0.01</v>
      </c>
      <c r="G28" s="91"/>
      <c r="H28" s="91"/>
      <c r="I28" s="91"/>
      <c r="J28" s="91"/>
      <c r="K28" s="91"/>
      <c r="L28" s="92"/>
      <c r="M28" s="50"/>
      <c r="N28" s="50"/>
      <c r="O28" s="50"/>
      <c r="P28" s="50"/>
      <c r="Q28" s="50"/>
      <c r="R28" s="50"/>
      <c r="S28" s="50"/>
      <c r="T28" s="50"/>
      <c r="U28" s="50"/>
      <c r="V28" s="50"/>
      <c r="W28" s="50"/>
      <c r="X28" s="50"/>
      <c r="Y28" s="50"/>
      <c r="Z28" s="50"/>
    </row>
    <row r="29" spans="1:26" ht="15.75" customHeight="1" x14ac:dyDescent="0.35">
      <c r="A29" s="50"/>
      <c r="B29" s="89" t="s">
        <v>100</v>
      </c>
      <c r="C29" s="88" t="s">
        <v>109</v>
      </c>
      <c r="D29" s="97">
        <v>0</v>
      </c>
      <c r="E29" s="97">
        <v>0</v>
      </c>
      <c r="F29" s="97">
        <v>0.01</v>
      </c>
      <c r="G29" s="91"/>
      <c r="H29" s="91"/>
      <c r="I29" s="91"/>
      <c r="J29" s="91"/>
      <c r="K29" s="91"/>
      <c r="L29" s="92"/>
      <c r="M29" s="50"/>
      <c r="N29" s="50"/>
      <c r="O29" s="50"/>
      <c r="P29" s="50"/>
      <c r="Q29" s="50"/>
      <c r="R29" s="50"/>
      <c r="S29" s="50"/>
      <c r="T29" s="50"/>
      <c r="U29" s="50"/>
      <c r="V29" s="50"/>
      <c r="W29" s="50"/>
      <c r="X29" s="50"/>
      <c r="Y29" s="50"/>
      <c r="Z29" s="50"/>
    </row>
    <row r="30" spans="1:26" ht="15.75" customHeight="1" x14ac:dyDescent="0.35">
      <c r="A30" s="50"/>
      <c r="B30" s="89" t="s">
        <v>101</v>
      </c>
      <c r="C30" s="88" t="s">
        <v>109</v>
      </c>
      <c r="D30" s="97">
        <v>0</v>
      </c>
      <c r="E30" s="97">
        <v>0</v>
      </c>
      <c r="F30" s="97">
        <v>0.01</v>
      </c>
      <c r="G30" s="91"/>
      <c r="H30" s="91"/>
      <c r="I30" s="91"/>
      <c r="J30" s="91"/>
      <c r="K30" s="91"/>
      <c r="L30" s="92"/>
      <c r="M30" s="50"/>
      <c r="N30" s="50"/>
      <c r="O30" s="50"/>
      <c r="P30" s="50"/>
      <c r="Q30" s="50"/>
      <c r="R30" s="50"/>
      <c r="S30" s="50"/>
      <c r="T30" s="50"/>
      <c r="U30" s="50"/>
      <c r="V30" s="50"/>
      <c r="W30" s="50"/>
      <c r="X30" s="50"/>
      <c r="Y30" s="50"/>
      <c r="Z30" s="50"/>
    </row>
    <row r="31" spans="1:26" ht="15.75" customHeight="1" x14ac:dyDescent="0.35">
      <c r="A31" s="50"/>
      <c r="B31" s="89" t="s">
        <v>102</v>
      </c>
      <c r="C31" s="88" t="s">
        <v>109</v>
      </c>
      <c r="D31" s="97">
        <v>0</v>
      </c>
      <c r="E31" s="97">
        <v>0</v>
      </c>
      <c r="F31" s="97">
        <v>0</v>
      </c>
      <c r="G31" s="91"/>
      <c r="H31" s="91"/>
      <c r="I31" s="91"/>
      <c r="J31" s="91"/>
      <c r="K31" s="91"/>
      <c r="L31" s="92"/>
      <c r="M31" s="50"/>
      <c r="N31" s="50"/>
      <c r="O31" s="50"/>
      <c r="P31" s="50"/>
      <c r="Q31" s="50"/>
      <c r="R31" s="50"/>
      <c r="S31" s="50"/>
      <c r="T31" s="50"/>
      <c r="U31" s="50"/>
      <c r="V31" s="50"/>
      <c r="W31" s="50"/>
      <c r="X31" s="50"/>
      <c r="Y31" s="50"/>
      <c r="Z31" s="50"/>
    </row>
    <row r="32" spans="1:26" ht="34.5" customHeight="1" x14ac:dyDescent="0.35">
      <c r="A32" s="50"/>
      <c r="B32" s="87" t="s">
        <v>229</v>
      </c>
      <c r="C32" s="88"/>
      <c r="D32" s="43"/>
      <c r="E32" s="205"/>
      <c r="F32" s="205"/>
      <c r="G32" s="563" t="s">
        <v>230</v>
      </c>
      <c r="H32" s="546"/>
      <c r="I32" s="546"/>
      <c r="J32" s="546"/>
      <c r="K32" s="546"/>
      <c r="L32" s="558"/>
      <c r="M32" s="50"/>
      <c r="N32" s="50"/>
      <c r="O32" s="50"/>
      <c r="P32" s="50"/>
      <c r="Q32" s="50"/>
      <c r="R32" s="50"/>
      <c r="S32" s="50"/>
      <c r="T32" s="50"/>
      <c r="U32" s="50"/>
      <c r="V32" s="50"/>
      <c r="W32" s="50"/>
      <c r="X32" s="50"/>
      <c r="Y32" s="50"/>
      <c r="Z32" s="50"/>
    </row>
    <row r="33" spans="1:26" ht="15.75" customHeight="1" x14ac:dyDescent="0.35">
      <c r="A33" s="50"/>
      <c r="B33" s="89" t="s">
        <v>93</v>
      </c>
      <c r="C33" s="88"/>
      <c r="D33" s="206">
        <v>0.22</v>
      </c>
      <c r="E33" s="207"/>
      <c r="F33" s="207"/>
      <c r="G33" s="91"/>
      <c r="H33" s="91"/>
      <c r="I33" s="91"/>
      <c r="J33" s="91"/>
      <c r="K33" s="91"/>
      <c r="L33" s="92"/>
      <c r="M33" s="50"/>
      <c r="N33" s="50"/>
      <c r="O33" s="50"/>
      <c r="P33" s="50"/>
      <c r="Q33" s="50"/>
      <c r="R33" s="50"/>
      <c r="S33" s="50"/>
      <c r="T33" s="50"/>
      <c r="U33" s="50"/>
      <c r="V33" s="50"/>
      <c r="W33" s="50"/>
      <c r="X33" s="50"/>
      <c r="Y33" s="50"/>
      <c r="Z33" s="50"/>
    </row>
    <row r="34" spans="1:26" ht="15.75" customHeight="1" x14ac:dyDescent="0.35">
      <c r="A34" s="50"/>
      <c r="B34" s="89" t="s">
        <v>95</v>
      </c>
      <c r="C34" s="88"/>
      <c r="D34" s="206">
        <v>0.09</v>
      </c>
      <c r="E34" s="207"/>
      <c r="F34" s="207"/>
      <c r="G34" s="91"/>
      <c r="H34" s="91"/>
      <c r="I34" s="91"/>
      <c r="J34" s="91"/>
      <c r="K34" s="91"/>
      <c r="L34" s="92"/>
      <c r="M34" s="50"/>
      <c r="N34" s="50"/>
      <c r="O34" s="50"/>
      <c r="P34" s="50"/>
      <c r="Q34" s="50"/>
      <c r="R34" s="50"/>
      <c r="S34" s="50"/>
      <c r="T34" s="50"/>
      <c r="U34" s="50"/>
      <c r="V34" s="50"/>
      <c r="W34" s="50"/>
      <c r="X34" s="50"/>
      <c r="Y34" s="50"/>
      <c r="Z34" s="50"/>
    </row>
    <row r="35" spans="1:26" ht="15.75" customHeight="1" x14ac:dyDescent="0.35">
      <c r="A35" s="50"/>
      <c r="B35" s="89" t="s">
        <v>96</v>
      </c>
      <c r="C35" s="88"/>
      <c r="D35" s="206">
        <v>0.37</v>
      </c>
      <c r="E35" s="207"/>
      <c r="F35" s="207"/>
      <c r="G35" s="91"/>
      <c r="H35" s="91"/>
      <c r="I35" s="91"/>
      <c r="J35" s="91"/>
      <c r="K35" s="91"/>
      <c r="L35" s="92"/>
      <c r="M35" s="50"/>
      <c r="N35" s="50"/>
      <c r="O35" s="50"/>
      <c r="P35" s="50"/>
      <c r="Q35" s="50"/>
      <c r="R35" s="50"/>
      <c r="S35" s="50"/>
      <c r="T35" s="50"/>
      <c r="U35" s="50"/>
      <c r="V35" s="50"/>
      <c r="W35" s="50"/>
      <c r="X35" s="50"/>
      <c r="Y35" s="50"/>
      <c r="Z35" s="50"/>
    </row>
    <row r="36" spans="1:26" ht="15.75" customHeight="1" x14ac:dyDescent="0.35">
      <c r="A36" s="50"/>
      <c r="B36" s="89" t="s">
        <v>97</v>
      </c>
      <c r="C36" s="88"/>
      <c r="D36" s="206">
        <v>0.23</v>
      </c>
      <c r="E36" s="207"/>
      <c r="F36" s="207"/>
      <c r="G36" s="91" t="s">
        <v>231</v>
      </c>
      <c r="H36" s="91"/>
      <c r="I36" s="91"/>
      <c r="J36" s="91"/>
      <c r="K36" s="91"/>
      <c r="L36" s="92"/>
      <c r="M36" s="50"/>
      <c r="N36" s="50"/>
      <c r="O36" s="50"/>
      <c r="P36" s="50"/>
      <c r="Q36" s="50"/>
      <c r="R36" s="50"/>
      <c r="S36" s="50"/>
      <c r="T36" s="50"/>
      <c r="U36" s="50"/>
      <c r="V36" s="50"/>
      <c r="W36" s="50"/>
      <c r="X36" s="50"/>
      <c r="Y36" s="50"/>
      <c r="Z36" s="50"/>
    </row>
    <row r="37" spans="1:26" ht="15.75" customHeight="1" x14ac:dyDescent="0.35">
      <c r="A37" s="50"/>
      <c r="B37" s="89" t="s">
        <v>98</v>
      </c>
      <c r="C37" s="88"/>
      <c r="D37" s="206">
        <v>0.23</v>
      </c>
      <c r="E37" s="207"/>
      <c r="F37" s="207"/>
      <c r="G37" s="91" t="s">
        <v>231</v>
      </c>
      <c r="H37" s="91"/>
      <c r="I37" s="91"/>
      <c r="J37" s="91"/>
      <c r="K37" s="91"/>
      <c r="L37" s="92"/>
      <c r="M37" s="50"/>
      <c r="N37" s="50"/>
      <c r="O37" s="50"/>
      <c r="P37" s="50"/>
      <c r="Q37" s="50"/>
      <c r="R37" s="50"/>
      <c r="S37" s="50"/>
      <c r="T37" s="50"/>
      <c r="U37" s="50"/>
      <c r="V37" s="50"/>
      <c r="W37" s="50"/>
      <c r="X37" s="50"/>
      <c r="Y37" s="50"/>
      <c r="Z37" s="50"/>
    </row>
    <row r="38" spans="1:26" ht="15.75" customHeight="1" x14ac:dyDescent="0.35">
      <c r="A38" s="50"/>
      <c r="B38" s="89" t="s">
        <v>99</v>
      </c>
      <c r="C38" s="88"/>
      <c r="D38" s="206">
        <v>0.23</v>
      </c>
      <c r="E38" s="207"/>
      <c r="F38" s="207"/>
      <c r="G38" s="91" t="s">
        <v>231</v>
      </c>
      <c r="H38" s="91"/>
      <c r="I38" s="91"/>
      <c r="J38" s="91"/>
      <c r="K38" s="91"/>
      <c r="L38" s="92"/>
      <c r="M38" s="50"/>
      <c r="N38" s="50"/>
      <c r="O38" s="50"/>
      <c r="P38" s="50"/>
      <c r="Q38" s="50"/>
      <c r="R38" s="50"/>
      <c r="S38" s="50"/>
      <c r="T38" s="50"/>
      <c r="U38" s="50"/>
      <c r="V38" s="50"/>
      <c r="W38" s="50"/>
      <c r="X38" s="50"/>
      <c r="Y38" s="50"/>
      <c r="Z38" s="50"/>
    </row>
    <row r="39" spans="1:26" ht="15.75" customHeight="1" x14ac:dyDescent="0.35">
      <c r="A39" s="50"/>
      <c r="B39" s="89" t="s">
        <v>100</v>
      </c>
      <c r="C39" s="88"/>
      <c r="D39" s="206">
        <v>0.23</v>
      </c>
      <c r="E39" s="207"/>
      <c r="F39" s="207"/>
      <c r="G39" s="91"/>
      <c r="H39" s="91"/>
      <c r="I39" s="91"/>
      <c r="J39" s="91"/>
      <c r="K39" s="91"/>
      <c r="L39" s="92"/>
      <c r="M39" s="50"/>
      <c r="N39" s="50"/>
      <c r="O39" s="50"/>
      <c r="P39" s="50"/>
      <c r="Q39" s="50"/>
      <c r="R39" s="50"/>
      <c r="S39" s="50"/>
      <c r="T39" s="50"/>
      <c r="U39" s="50"/>
      <c r="V39" s="50"/>
      <c r="W39" s="50"/>
      <c r="X39" s="50"/>
      <c r="Y39" s="50"/>
      <c r="Z39" s="50"/>
    </row>
    <row r="40" spans="1:26" ht="15.75" customHeight="1" x14ac:dyDescent="0.35">
      <c r="A40" s="50"/>
      <c r="B40" s="89" t="s">
        <v>101</v>
      </c>
      <c r="C40" s="88"/>
      <c r="D40" s="206">
        <v>0.23</v>
      </c>
      <c r="E40" s="207"/>
      <c r="F40" s="207"/>
      <c r="G40" s="91" t="s">
        <v>231</v>
      </c>
      <c r="H40" s="91"/>
      <c r="I40" s="91"/>
      <c r="J40" s="91"/>
      <c r="K40" s="91"/>
      <c r="L40" s="92"/>
      <c r="M40" s="50"/>
      <c r="N40" s="50"/>
      <c r="O40" s="50"/>
      <c r="P40" s="50"/>
      <c r="Q40" s="50"/>
      <c r="R40" s="50"/>
      <c r="S40" s="50"/>
      <c r="T40" s="50"/>
      <c r="U40" s="50"/>
      <c r="V40" s="50"/>
      <c r="W40" s="50"/>
      <c r="X40" s="50"/>
      <c r="Y40" s="50"/>
      <c r="Z40" s="50"/>
    </row>
    <row r="41" spans="1:26" ht="15.75" customHeight="1" x14ac:dyDescent="0.35">
      <c r="A41" s="50"/>
      <c r="B41" s="89" t="s">
        <v>102</v>
      </c>
      <c r="C41" s="88"/>
      <c r="D41" s="206">
        <v>0.23</v>
      </c>
      <c r="E41" s="207"/>
      <c r="F41" s="207"/>
      <c r="G41" s="91" t="s">
        <v>231</v>
      </c>
      <c r="H41" s="91"/>
      <c r="I41" s="91"/>
      <c r="J41" s="91"/>
      <c r="K41" s="91"/>
      <c r="L41" s="92"/>
      <c r="M41" s="50"/>
      <c r="N41" s="50"/>
      <c r="O41" s="50"/>
      <c r="P41" s="50"/>
      <c r="Q41" s="50"/>
      <c r="R41" s="50"/>
      <c r="S41" s="50"/>
      <c r="T41" s="50"/>
      <c r="U41" s="50"/>
      <c r="V41" s="50"/>
      <c r="W41" s="50"/>
      <c r="X41" s="50"/>
      <c r="Y41" s="50"/>
      <c r="Z41" s="50"/>
    </row>
    <row r="42" spans="1:26" ht="15.75" customHeight="1" x14ac:dyDescent="0.35">
      <c r="A42" s="50"/>
      <c r="B42" s="96"/>
      <c r="C42" s="88"/>
      <c r="D42" s="208"/>
      <c r="E42" s="91"/>
      <c r="F42" s="91"/>
      <c r="G42" s="91"/>
      <c r="H42" s="91"/>
      <c r="I42" s="91"/>
      <c r="J42" s="91"/>
      <c r="K42" s="91"/>
      <c r="L42" s="92"/>
      <c r="M42" s="50"/>
      <c r="N42" s="50"/>
      <c r="O42" s="50"/>
      <c r="P42" s="50"/>
      <c r="Q42" s="50"/>
      <c r="R42" s="50"/>
      <c r="S42" s="50"/>
      <c r="T42" s="50"/>
      <c r="U42" s="50"/>
      <c r="V42" s="50"/>
      <c r="W42" s="50"/>
      <c r="X42" s="50"/>
      <c r="Y42" s="50"/>
      <c r="Z42" s="50"/>
    </row>
    <row r="43" spans="1:26" ht="15.75" customHeight="1" x14ac:dyDescent="0.35">
      <c r="A43" s="50"/>
      <c r="B43" s="96" t="s">
        <v>232</v>
      </c>
      <c r="C43" s="88" t="s">
        <v>109</v>
      </c>
      <c r="D43" s="97">
        <v>0.01</v>
      </c>
      <c r="E43" s="91"/>
      <c r="F43" s="91"/>
      <c r="G43" s="91" t="s">
        <v>110</v>
      </c>
      <c r="H43" s="91"/>
      <c r="I43" s="91"/>
      <c r="J43" s="91"/>
      <c r="K43" s="91"/>
      <c r="L43" s="92"/>
      <c r="M43" s="50"/>
      <c r="N43" s="50"/>
      <c r="O43" s="50"/>
      <c r="P43" s="50"/>
      <c r="Q43" s="50"/>
      <c r="R43" s="50"/>
      <c r="S43" s="50"/>
      <c r="T43" s="50"/>
      <c r="U43" s="50"/>
      <c r="V43" s="50"/>
      <c r="W43" s="50"/>
      <c r="X43" s="50"/>
      <c r="Y43" s="50"/>
      <c r="Z43" s="50"/>
    </row>
    <row r="44" spans="1:26" ht="15.75" customHeight="1" x14ac:dyDescent="0.35">
      <c r="A44" s="50"/>
      <c r="B44" s="96" t="s">
        <v>113</v>
      </c>
      <c r="C44" s="88" t="s">
        <v>109</v>
      </c>
      <c r="D44" s="98" t="s">
        <v>114</v>
      </c>
      <c r="E44" s="91"/>
      <c r="F44" s="91"/>
      <c r="G44" s="91" t="s">
        <v>233</v>
      </c>
      <c r="H44" s="91"/>
      <c r="I44" s="91"/>
      <c r="J44" s="91"/>
      <c r="K44" s="91"/>
      <c r="L44" s="164"/>
      <c r="M44" s="50"/>
      <c r="N44" s="50"/>
      <c r="O44" s="50"/>
      <c r="P44" s="50"/>
      <c r="Q44" s="50"/>
      <c r="R44" s="50"/>
      <c r="S44" s="50"/>
      <c r="T44" s="50"/>
      <c r="U44" s="50"/>
      <c r="V44" s="50"/>
      <c r="W44" s="50"/>
      <c r="X44" s="50"/>
      <c r="Y44" s="50"/>
      <c r="Z44" s="50"/>
    </row>
    <row r="45" spans="1:26" ht="15.75" customHeight="1" x14ac:dyDescent="0.35">
      <c r="A45" s="50"/>
      <c r="B45" s="96" t="s">
        <v>116</v>
      </c>
      <c r="C45" s="88" t="s">
        <v>109</v>
      </c>
      <c r="D45" s="156">
        <f>VLOOKUP(D44,B46:D48,3,FALSE)</f>
        <v>0.05</v>
      </c>
      <c r="E45" s="91"/>
      <c r="F45" s="91"/>
      <c r="G45" s="91" t="s">
        <v>117</v>
      </c>
      <c r="H45" s="91"/>
      <c r="I45" s="91"/>
      <c r="J45" s="91"/>
      <c r="K45" s="91"/>
      <c r="L45" s="92"/>
      <c r="M45" s="50"/>
      <c r="N45" s="50"/>
      <c r="O45" s="50"/>
      <c r="P45" s="50"/>
      <c r="Q45" s="50"/>
      <c r="R45" s="50"/>
      <c r="S45" s="50"/>
      <c r="T45" s="50"/>
      <c r="U45" s="50"/>
      <c r="V45" s="50"/>
      <c r="W45" s="50"/>
      <c r="X45" s="50"/>
      <c r="Y45" s="50"/>
      <c r="Z45" s="50"/>
    </row>
    <row r="46" spans="1:26" ht="15.75" customHeight="1" x14ac:dyDescent="0.35">
      <c r="A46" s="50"/>
      <c r="B46" s="101" t="s">
        <v>114</v>
      </c>
      <c r="C46" s="102" t="s">
        <v>109</v>
      </c>
      <c r="D46" s="103">
        <v>0.05</v>
      </c>
      <c r="E46" s="91"/>
      <c r="F46" s="91"/>
      <c r="G46" s="91" t="s">
        <v>118</v>
      </c>
      <c r="H46" s="91"/>
      <c r="I46" s="91"/>
      <c r="J46" s="91"/>
      <c r="K46" s="91"/>
      <c r="L46" s="92"/>
      <c r="M46" s="50"/>
      <c r="N46" s="50"/>
      <c r="O46" s="50"/>
      <c r="P46" s="50"/>
      <c r="Q46" s="50"/>
      <c r="R46" s="50"/>
      <c r="S46" s="50"/>
      <c r="T46" s="50"/>
      <c r="U46" s="50"/>
      <c r="V46" s="50"/>
      <c r="W46" s="50"/>
      <c r="X46" s="50"/>
      <c r="Y46" s="50"/>
      <c r="Z46" s="50"/>
    </row>
    <row r="47" spans="1:26" ht="15.75" customHeight="1" x14ac:dyDescent="0.35">
      <c r="A47" s="50"/>
      <c r="B47" s="101" t="s">
        <v>119</v>
      </c>
      <c r="C47" s="102" t="s">
        <v>109</v>
      </c>
      <c r="D47" s="103">
        <v>0.03</v>
      </c>
      <c r="E47" s="91"/>
      <c r="F47" s="91"/>
      <c r="G47" s="91" t="s">
        <v>120</v>
      </c>
      <c r="H47" s="91"/>
      <c r="I47" s="91"/>
      <c r="J47" s="91"/>
      <c r="K47" s="91"/>
      <c r="L47" s="92"/>
      <c r="M47" s="50"/>
      <c r="N47" s="50"/>
      <c r="O47" s="50"/>
      <c r="P47" s="50"/>
      <c r="Q47" s="50"/>
      <c r="R47" s="50"/>
      <c r="S47" s="50"/>
      <c r="T47" s="50"/>
      <c r="U47" s="50"/>
      <c r="V47" s="50"/>
      <c r="W47" s="50"/>
      <c r="X47" s="50"/>
      <c r="Y47" s="50"/>
      <c r="Z47" s="50"/>
    </row>
    <row r="48" spans="1:26" ht="15.75" customHeight="1" x14ac:dyDescent="0.35">
      <c r="A48" s="50"/>
      <c r="B48" s="101" t="s">
        <v>121</v>
      </c>
      <c r="C48" s="102" t="s">
        <v>109</v>
      </c>
      <c r="D48" s="103">
        <v>0.01</v>
      </c>
      <c r="E48" s="91"/>
      <c r="F48" s="91"/>
      <c r="G48" s="91" t="s">
        <v>122</v>
      </c>
      <c r="H48" s="91"/>
      <c r="I48" s="91"/>
      <c r="J48" s="91"/>
      <c r="K48" s="91"/>
      <c r="L48" s="92"/>
      <c r="M48" s="50"/>
      <c r="N48" s="50"/>
      <c r="O48" s="50"/>
      <c r="P48" s="50"/>
      <c r="Q48" s="50"/>
      <c r="R48" s="50"/>
      <c r="S48" s="50"/>
      <c r="T48" s="50"/>
      <c r="U48" s="50"/>
      <c r="V48" s="50"/>
      <c r="W48" s="50"/>
      <c r="X48" s="50"/>
      <c r="Y48" s="50"/>
      <c r="Z48" s="50"/>
    </row>
    <row r="49" spans="1:26" ht="15.75" customHeight="1" x14ac:dyDescent="0.35">
      <c r="A49" s="50"/>
      <c r="B49" s="96" t="s">
        <v>234</v>
      </c>
      <c r="C49" s="88"/>
      <c r="D49" s="97">
        <v>0.01</v>
      </c>
      <c r="E49" s="91"/>
      <c r="F49" s="91"/>
      <c r="G49" s="91" t="s">
        <v>126</v>
      </c>
      <c r="H49" s="91"/>
      <c r="I49" s="91"/>
      <c r="J49" s="91"/>
      <c r="K49" s="91"/>
      <c r="L49" s="92"/>
      <c r="M49" s="50"/>
      <c r="N49" s="50"/>
      <c r="O49" s="50"/>
      <c r="P49" s="50"/>
      <c r="Q49" s="50"/>
      <c r="R49" s="50"/>
      <c r="S49" s="50"/>
      <c r="T49" s="50"/>
      <c r="U49" s="50"/>
      <c r="V49" s="50"/>
      <c r="W49" s="50"/>
      <c r="X49" s="50"/>
      <c r="Y49" s="50"/>
      <c r="Z49" s="50"/>
    </row>
    <row r="50" spans="1:26" ht="15.75" customHeight="1" x14ac:dyDescent="0.35">
      <c r="A50" s="50"/>
      <c r="B50" s="106" t="s">
        <v>127</v>
      </c>
      <c r="C50" s="107"/>
      <c r="D50" s="209">
        <f>'1.Red. Purch. Cost Patient Care'!D68</f>
        <v>0.05</v>
      </c>
      <c r="E50" s="109"/>
      <c r="F50" s="109"/>
      <c r="G50" s="109" t="s">
        <v>235</v>
      </c>
      <c r="H50" s="109"/>
      <c r="I50" s="109"/>
      <c r="J50" s="109"/>
      <c r="K50" s="109"/>
      <c r="L50" s="158"/>
      <c r="M50" s="50"/>
      <c r="N50" s="50"/>
      <c r="O50" s="50"/>
      <c r="P50" s="50"/>
      <c r="Q50" s="50"/>
      <c r="R50" s="50"/>
      <c r="S50" s="50"/>
      <c r="T50" s="50"/>
      <c r="U50" s="50"/>
      <c r="V50" s="50"/>
      <c r="W50" s="50"/>
      <c r="X50" s="50"/>
      <c r="Y50" s="50"/>
      <c r="Z50" s="50"/>
    </row>
    <row r="51" spans="1:26" ht="15.75" customHeight="1" x14ac:dyDescent="0.3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spans="1:26" ht="15.75" customHeight="1" x14ac:dyDescent="0.35">
      <c r="A52" s="50"/>
      <c r="B52" s="35" t="s">
        <v>55</v>
      </c>
      <c r="C52" s="38"/>
      <c r="D52" s="565" t="s">
        <v>129</v>
      </c>
      <c r="E52" s="552"/>
      <c r="F52" s="553"/>
      <c r="G52" s="112" t="s">
        <v>130</v>
      </c>
      <c r="H52" s="38" t="e">
        <f t="shared" ref="H52:P52" si="0">+G52+1</f>
        <v>#VALUE!</v>
      </c>
      <c r="I52" s="38" t="e">
        <f t="shared" si="0"/>
        <v>#VALUE!</v>
      </c>
      <c r="J52" s="38" t="e">
        <f t="shared" si="0"/>
        <v>#VALUE!</v>
      </c>
      <c r="K52" s="38" t="e">
        <f t="shared" si="0"/>
        <v>#VALUE!</v>
      </c>
      <c r="L52" s="38" t="e">
        <f t="shared" si="0"/>
        <v>#VALUE!</v>
      </c>
      <c r="M52" s="38" t="e">
        <f t="shared" si="0"/>
        <v>#VALUE!</v>
      </c>
      <c r="N52" s="38" t="e">
        <f t="shared" si="0"/>
        <v>#VALUE!</v>
      </c>
      <c r="O52" s="38" t="e">
        <f t="shared" si="0"/>
        <v>#VALUE!</v>
      </c>
      <c r="P52" s="39" t="e">
        <f t="shared" si="0"/>
        <v>#VALUE!</v>
      </c>
      <c r="Q52" s="50"/>
      <c r="R52" s="50"/>
      <c r="S52" s="50"/>
      <c r="T52" s="50"/>
      <c r="U52" s="50"/>
      <c r="V52" s="50"/>
      <c r="W52" s="50"/>
      <c r="X52" s="50"/>
      <c r="Y52" s="50"/>
      <c r="Z52" s="50"/>
    </row>
    <row r="53" spans="1:26" ht="15.75" customHeight="1" x14ac:dyDescent="0.35">
      <c r="A53" s="50"/>
      <c r="B53" s="40"/>
      <c r="C53" s="113"/>
      <c r="D53" s="159">
        <v>1</v>
      </c>
      <c r="E53" s="159">
        <f>+D53+1</f>
        <v>2</v>
      </c>
      <c r="F53" s="159">
        <f t="shared" ref="F53:P53" si="1">E53+1</f>
        <v>3</v>
      </c>
      <c r="G53" s="159">
        <f t="shared" si="1"/>
        <v>4</v>
      </c>
      <c r="H53" s="159">
        <f t="shared" si="1"/>
        <v>5</v>
      </c>
      <c r="I53" s="159">
        <f t="shared" si="1"/>
        <v>6</v>
      </c>
      <c r="J53" s="159">
        <f t="shared" si="1"/>
        <v>7</v>
      </c>
      <c r="K53" s="159">
        <f t="shared" si="1"/>
        <v>8</v>
      </c>
      <c r="L53" s="159">
        <f t="shared" si="1"/>
        <v>9</v>
      </c>
      <c r="M53" s="159">
        <f t="shared" si="1"/>
        <v>10</v>
      </c>
      <c r="N53" s="159">
        <f t="shared" si="1"/>
        <v>11</v>
      </c>
      <c r="O53" s="159">
        <f t="shared" si="1"/>
        <v>12</v>
      </c>
      <c r="P53" s="160">
        <f t="shared" si="1"/>
        <v>13</v>
      </c>
      <c r="Q53" s="50"/>
      <c r="R53" s="50"/>
      <c r="S53" s="50"/>
      <c r="T53" s="50"/>
      <c r="U53" s="50"/>
      <c r="V53" s="50"/>
      <c r="W53" s="50"/>
      <c r="X53" s="50"/>
      <c r="Y53" s="50"/>
      <c r="Z53" s="50"/>
    </row>
    <row r="54" spans="1:26" ht="15.75" customHeight="1" x14ac:dyDescent="0.35">
      <c r="A54" s="50"/>
      <c r="B54" s="46" t="s">
        <v>131</v>
      </c>
      <c r="C54" s="47"/>
      <c r="D54" s="49"/>
      <c r="E54" s="49"/>
      <c r="F54" s="49"/>
      <c r="G54" s="49"/>
      <c r="H54" s="49"/>
      <c r="I54" s="49"/>
      <c r="J54" s="49"/>
      <c r="K54" s="49"/>
      <c r="L54" s="49"/>
      <c r="M54" s="49"/>
      <c r="N54" s="50"/>
      <c r="O54" s="50"/>
      <c r="P54" s="115"/>
      <c r="Q54" s="50"/>
      <c r="R54" s="50"/>
      <c r="S54" s="50"/>
      <c r="T54" s="50"/>
      <c r="U54" s="50"/>
      <c r="V54" s="50"/>
      <c r="W54" s="50"/>
      <c r="X54" s="50"/>
      <c r="Y54" s="50"/>
      <c r="Z54" s="50"/>
    </row>
    <row r="55" spans="1:26" ht="15.75" customHeight="1" x14ac:dyDescent="0.35">
      <c r="A55" s="50"/>
      <c r="B55" s="53" t="s">
        <v>93</v>
      </c>
      <c r="C55" s="116" t="s">
        <v>94</v>
      </c>
      <c r="D55" s="49">
        <f t="shared" ref="D55:D63" si="2">D12</f>
        <v>1000</v>
      </c>
      <c r="E55" s="49">
        <f t="shared" ref="E55:P55" si="3">D55*(1+$D$43)</f>
        <v>1010</v>
      </c>
      <c r="F55" s="49">
        <f t="shared" si="3"/>
        <v>1020.1</v>
      </c>
      <c r="G55" s="49">
        <f t="shared" si="3"/>
        <v>1030.3009999999999</v>
      </c>
      <c r="H55" s="49">
        <f t="shared" si="3"/>
        <v>1040.60401</v>
      </c>
      <c r="I55" s="49">
        <f t="shared" si="3"/>
        <v>1051.0100500999999</v>
      </c>
      <c r="J55" s="49">
        <f t="shared" si="3"/>
        <v>1061.5201506009998</v>
      </c>
      <c r="K55" s="49">
        <f t="shared" si="3"/>
        <v>1072.1353521070098</v>
      </c>
      <c r="L55" s="49">
        <f t="shared" si="3"/>
        <v>1082.8567056280799</v>
      </c>
      <c r="M55" s="49">
        <f t="shared" si="3"/>
        <v>1093.6852726843608</v>
      </c>
      <c r="N55" s="49">
        <f t="shared" si="3"/>
        <v>1104.6221254112045</v>
      </c>
      <c r="O55" s="49">
        <f t="shared" si="3"/>
        <v>1115.6683466653164</v>
      </c>
      <c r="P55" s="117">
        <f t="shared" si="3"/>
        <v>1126.8250301319697</v>
      </c>
      <c r="Q55" s="50"/>
      <c r="R55" s="50"/>
      <c r="S55" s="50"/>
      <c r="T55" s="50"/>
      <c r="U55" s="50"/>
      <c r="V55" s="50"/>
      <c r="W55" s="50"/>
      <c r="X55" s="50"/>
      <c r="Y55" s="50"/>
      <c r="Z55" s="50"/>
    </row>
    <row r="56" spans="1:26" ht="15.75" customHeight="1" x14ac:dyDescent="0.35">
      <c r="A56" s="50"/>
      <c r="B56" s="53" t="s">
        <v>95</v>
      </c>
      <c r="C56" s="116" t="s">
        <v>94</v>
      </c>
      <c r="D56" s="49">
        <f t="shared" si="2"/>
        <v>1000</v>
      </c>
      <c r="E56" s="49">
        <f t="shared" ref="E56:P56" si="4">D56*(1+$D$43)</f>
        <v>1010</v>
      </c>
      <c r="F56" s="49">
        <f t="shared" si="4"/>
        <v>1020.1</v>
      </c>
      <c r="G56" s="49">
        <f t="shared" si="4"/>
        <v>1030.3009999999999</v>
      </c>
      <c r="H56" s="49">
        <f t="shared" si="4"/>
        <v>1040.60401</v>
      </c>
      <c r="I56" s="49">
        <f t="shared" si="4"/>
        <v>1051.0100500999999</v>
      </c>
      <c r="J56" s="49">
        <f t="shared" si="4"/>
        <v>1061.5201506009998</v>
      </c>
      <c r="K56" s="49">
        <f t="shared" si="4"/>
        <v>1072.1353521070098</v>
      </c>
      <c r="L56" s="49">
        <f t="shared" si="4"/>
        <v>1082.8567056280799</v>
      </c>
      <c r="M56" s="49">
        <f t="shared" si="4"/>
        <v>1093.6852726843608</v>
      </c>
      <c r="N56" s="49">
        <f t="shared" si="4"/>
        <v>1104.6221254112045</v>
      </c>
      <c r="O56" s="49">
        <f t="shared" si="4"/>
        <v>1115.6683466653164</v>
      </c>
      <c r="P56" s="117">
        <f t="shared" si="4"/>
        <v>1126.8250301319697</v>
      </c>
      <c r="Q56" s="50"/>
      <c r="R56" s="50"/>
      <c r="S56" s="50"/>
      <c r="T56" s="50"/>
      <c r="U56" s="50"/>
      <c r="V56" s="50"/>
      <c r="W56" s="50"/>
      <c r="X56" s="50"/>
      <c r="Y56" s="50"/>
      <c r="Z56" s="50"/>
    </row>
    <row r="57" spans="1:26" ht="15.75" customHeight="1" x14ac:dyDescent="0.35">
      <c r="A57" s="50"/>
      <c r="B57" s="53" t="s">
        <v>96</v>
      </c>
      <c r="C57" s="116" t="s">
        <v>94</v>
      </c>
      <c r="D57" s="49">
        <f t="shared" si="2"/>
        <v>1000</v>
      </c>
      <c r="E57" s="49">
        <f t="shared" ref="E57:P57" si="5">D57*(1+$D$43)</f>
        <v>1010</v>
      </c>
      <c r="F57" s="49">
        <f t="shared" si="5"/>
        <v>1020.1</v>
      </c>
      <c r="G57" s="49">
        <f t="shared" si="5"/>
        <v>1030.3009999999999</v>
      </c>
      <c r="H57" s="49">
        <f t="shared" si="5"/>
        <v>1040.60401</v>
      </c>
      <c r="I57" s="49">
        <f t="shared" si="5"/>
        <v>1051.0100500999999</v>
      </c>
      <c r="J57" s="49">
        <f t="shared" si="5"/>
        <v>1061.5201506009998</v>
      </c>
      <c r="K57" s="49">
        <f t="shared" si="5"/>
        <v>1072.1353521070098</v>
      </c>
      <c r="L57" s="49">
        <f t="shared" si="5"/>
        <v>1082.8567056280799</v>
      </c>
      <c r="M57" s="49">
        <f t="shared" si="5"/>
        <v>1093.6852726843608</v>
      </c>
      <c r="N57" s="49">
        <f t="shared" si="5"/>
        <v>1104.6221254112045</v>
      </c>
      <c r="O57" s="49">
        <f t="shared" si="5"/>
        <v>1115.6683466653164</v>
      </c>
      <c r="P57" s="117">
        <f t="shared" si="5"/>
        <v>1126.8250301319697</v>
      </c>
      <c r="Q57" s="50"/>
      <c r="R57" s="50"/>
      <c r="S57" s="50"/>
      <c r="T57" s="50"/>
      <c r="U57" s="50"/>
      <c r="V57" s="50"/>
      <c r="W57" s="50"/>
      <c r="X57" s="50"/>
      <c r="Y57" s="50"/>
      <c r="Z57" s="50"/>
    </row>
    <row r="58" spans="1:26" ht="15.75" customHeight="1" x14ac:dyDescent="0.35">
      <c r="A58" s="50"/>
      <c r="B58" s="53" t="s">
        <v>97</v>
      </c>
      <c r="C58" s="116" t="s">
        <v>94</v>
      </c>
      <c r="D58" s="49">
        <f t="shared" si="2"/>
        <v>1000</v>
      </c>
      <c r="E58" s="49">
        <f t="shared" ref="E58:P58" si="6">D58*(1+$D$43)</f>
        <v>1010</v>
      </c>
      <c r="F58" s="49">
        <f t="shared" si="6"/>
        <v>1020.1</v>
      </c>
      <c r="G58" s="49">
        <f t="shared" si="6"/>
        <v>1030.3009999999999</v>
      </c>
      <c r="H58" s="49">
        <f t="shared" si="6"/>
        <v>1040.60401</v>
      </c>
      <c r="I58" s="49">
        <f t="shared" si="6"/>
        <v>1051.0100500999999</v>
      </c>
      <c r="J58" s="49">
        <f t="shared" si="6"/>
        <v>1061.5201506009998</v>
      </c>
      <c r="K58" s="49">
        <f t="shared" si="6"/>
        <v>1072.1353521070098</v>
      </c>
      <c r="L58" s="49">
        <f t="shared" si="6"/>
        <v>1082.8567056280799</v>
      </c>
      <c r="M58" s="49">
        <f t="shared" si="6"/>
        <v>1093.6852726843608</v>
      </c>
      <c r="N58" s="49">
        <f t="shared" si="6"/>
        <v>1104.6221254112045</v>
      </c>
      <c r="O58" s="49">
        <f t="shared" si="6"/>
        <v>1115.6683466653164</v>
      </c>
      <c r="P58" s="117">
        <f t="shared" si="6"/>
        <v>1126.8250301319697</v>
      </c>
      <c r="Q58" s="50"/>
      <c r="R58" s="50"/>
      <c r="S58" s="50"/>
      <c r="T58" s="50"/>
      <c r="U58" s="50"/>
      <c r="V58" s="50"/>
      <c r="W58" s="50"/>
      <c r="X58" s="50"/>
      <c r="Y58" s="50"/>
      <c r="Z58" s="50"/>
    </row>
    <row r="59" spans="1:26" ht="15.75" customHeight="1" x14ac:dyDescent="0.35">
      <c r="A59" s="50"/>
      <c r="B59" s="53" t="s">
        <v>98</v>
      </c>
      <c r="C59" s="116" t="s">
        <v>94</v>
      </c>
      <c r="D59" s="49">
        <f t="shared" si="2"/>
        <v>1000</v>
      </c>
      <c r="E59" s="49">
        <f t="shared" ref="E59:P59" si="7">D59*(1+$D$43)</f>
        <v>1010</v>
      </c>
      <c r="F59" s="49">
        <f t="shared" si="7"/>
        <v>1020.1</v>
      </c>
      <c r="G59" s="49">
        <f t="shared" si="7"/>
        <v>1030.3009999999999</v>
      </c>
      <c r="H59" s="49">
        <f t="shared" si="7"/>
        <v>1040.60401</v>
      </c>
      <c r="I59" s="49">
        <f t="shared" si="7"/>
        <v>1051.0100500999999</v>
      </c>
      <c r="J59" s="49">
        <f t="shared" si="7"/>
        <v>1061.5201506009998</v>
      </c>
      <c r="K59" s="49">
        <f t="shared" si="7"/>
        <v>1072.1353521070098</v>
      </c>
      <c r="L59" s="49">
        <f t="shared" si="7"/>
        <v>1082.8567056280799</v>
      </c>
      <c r="M59" s="49">
        <f t="shared" si="7"/>
        <v>1093.6852726843608</v>
      </c>
      <c r="N59" s="49">
        <f t="shared" si="7"/>
        <v>1104.6221254112045</v>
      </c>
      <c r="O59" s="49">
        <f t="shared" si="7"/>
        <v>1115.6683466653164</v>
      </c>
      <c r="P59" s="117">
        <f t="shared" si="7"/>
        <v>1126.8250301319697</v>
      </c>
      <c r="Q59" s="50"/>
      <c r="R59" s="50"/>
      <c r="S59" s="50"/>
      <c r="T59" s="50"/>
      <c r="U59" s="50"/>
      <c r="V59" s="50"/>
      <c r="W59" s="50"/>
      <c r="X59" s="50"/>
      <c r="Y59" s="50"/>
      <c r="Z59" s="50"/>
    </row>
    <row r="60" spans="1:26" ht="15.75" customHeight="1" x14ac:dyDescent="0.35">
      <c r="A60" s="50"/>
      <c r="B60" s="53" t="s">
        <v>99</v>
      </c>
      <c r="C60" s="116" t="s">
        <v>94</v>
      </c>
      <c r="D60" s="49">
        <f t="shared" si="2"/>
        <v>1000</v>
      </c>
      <c r="E60" s="49">
        <f t="shared" ref="E60:P60" si="8">D60*(1+$D$43)</f>
        <v>1010</v>
      </c>
      <c r="F60" s="49">
        <f t="shared" si="8"/>
        <v>1020.1</v>
      </c>
      <c r="G60" s="49">
        <f t="shared" si="8"/>
        <v>1030.3009999999999</v>
      </c>
      <c r="H60" s="49">
        <f t="shared" si="8"/>
        <v>1040.60401</v>
      </c>
      <c r="I60" s="49">
        <f t="shared" si="8"/>
        <v>1051.0100500999999</v>
      </c>
      <c r="J60" s="49">
        <f t="shared" si="8"/>
        <v>1061.5201506009998</v>
      </c>
      <c r="K60" s="49">
        <f t="shared" si="8"/>
        <v>1072.1353521070098</v>
      </c>
      <c r="L60" s="49">
        <f t="shared" si="8"/>
        <v>1082.8567056280799</v>
      </c>
      <c r="M60" s="49">
        <f t="shared" si="8"/>
        <v>1093.6852726843608</v>
      </c>
      <c r="N60" s="49">
        <f t="shared" si="8"/>
        <v>1104.6221254112045</v>
      </c>
      <c r="O60" s="49">
        <f t="shared" si="8"/>
        <v>1115.6683466653164</v>
      </c>
      <c r="P60" s="117">
        <f t="shared" si="8"/>
        <v>1126.8250301319697</v>
      </c>
      <c r="Q60" s="50"/>
      <c r="R60" s="50"/>
      <c r="S60" s="50"/>
      <c r="T60" s="50"/>
      <c r="U60" s="50"/>
      <c r="V60" s="50"/>
      <c r="W60" s="50"/>
      <c r="X60" s="50"/>
      <c r="Y60" s="50"/>
      <c r="Z60" s="50"/>
    </row>
    <row r="61" spans="1:26" ht="15.75" customHeight="1" x14ac:dyDescent="0.35">
      <c r="A61" s="50"/>
      <c r="B61" s="53" t="s">
        <v>100</v>
      </c>
      <c r="C61" s="116" t="s">
        <v>94</v>
      </c>
      <c r="D61" s="49">
        <f t="shared" si="2"/>
        <v>1000</v>
      </c>
      <c r="E61" s="49">
        <f t="shared" ref="E61:P61" si="9">D61*(1+$D$43)</f>
        <v>1010</v>
      </c>
      <c r="F61" s="49">
        <f t="shared" si="9"/>
        <v>1020.1</v>
      </c>
      <c r="G61" s="49">
        <f t="shared" si="9"/>
        <v>1030.3009999999999</v>
      </c>
      <c r="H61" s="49">
        <f t="shared" si="9"/>
        <v>1040.60401</v>
      </c>
      <c r="I61" s="49">
        <f t="shared" si="9"/>
        <v>1051.0100500999999</v>
      </c>
      <c r="J61" s="49">
        <f t="shared" si="9"/>
        <v>1061.5201506009998</v>
      </c>
      <c r="K61" s="49">
        <f t="shared" si="9"/>
        <v>1072.1353521070098</v>
      </c>
      <c r="L61" s="49">
        <f t="shared" si="9"/>
        <v>1082.8567056280799</v>
      </c>
      <c r="M61" s="49">
        <f t="shared" si="9"/>
        <v>1093.6852726843608</v>
      </c>
      <c r="N61" s="49">
        <f t="shared" si="9"/>
        <v>1104.6221254112045</v>
      </c>
      <c r="O61" s="49">
        <f t="shared" si="9"/>
        <v>1115.6683466653164</v>
      </c>
      <c r="P61" s="117">
        <f t="shared" si="9"/>
        <v>1126.8250301319697</v>
      </c>
      <c r="Q61" s="50"/>
      <c r="R61" s="50"/>
      <c r="S61" s="50"/>
      <c r="T61" s="50"/>
      <c r="U61" s="50"/>
      <c r="V61" s="50"/>
      <c r="W61" s="50"/>
      <c r="X61" s="50"/>
      <c r="Y61" s="50"/>
      <c r="Z61" s="50"/>
    </row>
    <row r="62" spans="1:26" ht="15.75" customHeight="1" x14ac:dyDescent="0.35">
      <c r="A62" s="50"/>
      <c r="B62" s="53" t="s">
        <v>101</v>
      </c>
      <c r="C62" s="116" t="s">
        <v>94</v>
      </c>
      <c r="D62" s="49">
        <f t="shared" si="2"/>
        <v>1000</v>
      </c>
      <c r="E62" s="49">
        <f t="shared" ref="E62:P62" si="10">D62*(1+$D$43)</f>
        <v>1010</v>
      </c>
      <c r="F62" s="49">
        <f t="shared" si="10"/>
        <v>1020.1</v>
      </c>
      <c r="G62" s="49">
        <f t="shared" si="10"/>
        <v>1030.3009999999999</v>
      </c>
      <c r="H62" s="49">
        <f t="shared" si="10"/>
        <v>1040.60401</v>
      </c>
      <c r="I62" s="49">
        <f t="shared" si="10"/>
        <v>1051.0100500999999</v>
      </c>
      <c r="J62" s="49">
        <f t="shared" si="10"/>
        <v>1061.5201506009998</v>
      </c>
      <c r="K62" s="49">
        <f t="shared" si="10"/>
        <v>1072.1353521070098</v>
      </c>
      <c r="L62" s="49">
        <f t="shared" si="10"/>
        <v>1082.8567056280799</v>
      </c>
      <c r="M62" s="49">
        <f t="shared" si="10"/>
        <v>1093.6852726843608</v>
      </c>
      <c r="N62" s="49">
        <f t="shared" si="10"/>
        <v>1104.6221254112045</v>
      </c>
      <c r="O62" s="49">
        <f t="shared" si="10"/>
        <v>1115.6683466653164</v>
      </c>
      <c r="P62" s="117">
        <f t="shared" si="10"/>
        <v>1126.8250301319697</v>
      </c>
      <c r="Q62" s="50"/>
      <c r="R62" s="50"/>
      <c r="S62" s="50"/>
      <c r="T62" s="50"/>
      <c r="U62" s="50"/>
      <c r="V62" s="50"/>
      <c r="W62" s="50"/>
      <c r="X62" s="50"/>
      <c r="Y62" s="50"/>
      <c r="Z62" s="50"/>
    </row>
    <row r="63" spans="1:26" ht="15.75" customHeight="1" x14ac:dyDescent="0.35">
      <c r="A63" s="50"/>
      <c r="B63" s="53" t="s">
        <v>102</v>
      </c>
      <c r="C63" s="116" t="s">
        <v>94</v>
      </c>
      <c r="D63" s="49">
        <f t="shared" si="2"/>
        <v>1000</v>
      </c>
      <c r="E63" s="49">
        <f t="shared" ref="E63:P63" si="11">D63*(1+$D$43)</f>
        <v>1010</v>
      </c>
      <c r="F63" s="49">
        <f t="shared" si="11"/>
        <v>1020.1</v>
      </c>
      <c r="G63" s="49">
        <f t="shared" si="11"/>
        <v>1030.3009999999999</v>
      </c>
      <c r="H63" s="49">
        <f t="shared" si="11"/>
        <v>1040.60401</v>
      </c>
      <c r="I63" s="49">
        <f t="shared" si="11"/>
        <v>1051.0100500999999</v>
      </c>
      <c r="J63" s="49">
        <f t="shared" si="11"/>
        <v>1061.5201506009998</v>
      </c>
      <c r="K63" s="49">
        <f t="shared" si="11"/>
        <v>1072.1353521070098</v>
      </c>
      <c r="L63" s="49">
        <f t="shared" si="11"/>
        <v>1082.8567056280799</v>
      </c>
      <c r="M63" s="49">
        <f t="shared" si="11"/>
        <v>1093.6852726843608</v>
      </c>
      <c r="N63" s="49">
        <f t="shared" si="11"/>
        <v>1104.6221254112045</v>
      </c>
      <c r="O63" s="49">
        <f t="shared" si="11"/>
        <v>1115.6683466653164</v>
      </c>
      <c r="P63" s="117">
        <f t="shared" si="11"/>
        <v>1126.8250301319697</v>
      </c>
      <c r="Q63" s="50"/>
      <c r="R63" s="50"/>
      <c r="S63" s="50"/>
      <c r="T63" s="50"/>
      <c r="U63" s="50"/>
      <c r="V63" s="50"/>
      <c r="W63" s="50"/>
      <c r="X63" s="50"/>
      <c r="Y63" s="50"/>
      <c r="Z63" s="50"/>
    </row>
    <row r="64" spans="1:26" ht="15.75" customHeight="1" x14ac:dyDescent="0.35">
      <c r="A64" s="32"/>
      <c r="B64" s="58" t="s">
        <v>65</v>
      </c>
      <c r="C64" s="116" t="s">
        <v>94</v>
      </c>
      <c r="D64" s="118">
        <f t="shared" ref="D64:P64" si="12">SUM(D55:D63)</f>
        <v>9000</v>
      </c>
      <c r="E64" s="118">
        <f t="shared" si="12"/>
        <v>9090</v>
      </c>
      <c r="F64" s="118">
        <f t="shared" si="12"/>
        <v>9180.9000000000015</v>
      </c>
      <c r="G64" s="118">
        <f t="shared" si="12"/>
        <v>9272.7089999999971</v>
      </c>
      <c r="H64" s="118">
        <f t="shared" si="12"/>
        <v>9365.4360899999992</v>
      </c>
      <c r="I64" s="118">
        <f t="shared" si="12"/>
        <v>9459.0904508999993</v>
      </c>
      <c r="J64" s="118">
        <f t="shared" si="12"/>
        <v>9553.6813554089986</v>
      </c>
      <c r="K64" s="118">
        <f t="shared" si="12"/>
        <v>9649.2181689630888</v>
      </c>
      <c r="L64" s="118">
        <f t="shared" si="12"/>
        <v>9745.7103506527201</v>
      </c>
      <c r="M64" s="118">
        <f t="shared" si="12"/>
        <v>9843.1674541592474</v>
      </c>
      <c r="N64" s="118">
        <f t="shared" si="12"/>
        <v>9941.5991287008401</v>
      </c>
      <c r="O64" s="118">
        <f t="shared" si="12"/>
        <v>10041.015119987847</v>
      </c>
      <c r="P64" s="119">
        <f t="shared" si="12"/>
        <v>10141.425271187727</v>
      </c>
      <c r="Q64" s="32"/>
      <c r="R64" s="32"/>
      <c r="S64" s="32"/>
      <c r="T64" s="32"/>
      <c r="U64" s="32"/>
      <c r="V64" s="32"/>
      <c r="W64" s="32"/>
      <c r="X64" s="32"/>
      <c r="Y64" s="32"/>
      <c r="Z64" s="32"/>
    </row>
    <row r="65" spans="1:26" ht="15.75" customHeight="1" x14ac:dyDescent="0.35">
      <c r="A65" s="50"/>
      <c r="B65" s="46" t="s">
        <v>133</v>
      </c>
      <c r="C65" s="65"/>
      <c r="D65" s="123"/>
      <c r="E65" s="123"/>
      <c r="F65" s="123"/>
      <c r="G65" s="50"/>
      <c r="H65" s="50"/>
      <c r="I65" s="50"/>
      <c r="J65" s="50"/>
      <c r="K65" s="50"/>
      <c r="L65" s="50"/>
      <c r="M65" s="50"/>
      <c r="N65" s="50"/>
      <c r="O65" s="50"/>
      <c r="P65" s="115"/>
      <c r="Q65" s="50"/>
      <c r="R65" s="50"/>
      <c r="S65" s="50"/>
      <c r="T65" s="50"/>
      <c r="U65" s="50"/>
      <c r="V65" s="50"/>
      <c r="W65" s="50"/>
      <c r="X65" s="50"/>
      <c r="Y65" s="50"/>
      <c r="Z65" s="50"/>
    </row>
    <row r="66" spans="1:26" ht="15.75" customHeight="1" x14ac:dyDescent="0.35">
      <c r="A66" s="50"/>
      <c r="B66" s="53" t="s">
        <v>93</v>
      </c>
      <c r="C66" s="116" t="s">
        <v>94</v>
      </c>
      <c r="D66" s="80">
        <f t="shared" ref="D66:D74" si="13">D55*D23</f>
        <v>10</v>
      </c>
      <c r="E66" s="80">
        <f t="shared" ref="E66:F66" si="14">IF(D66&gt;0,D66*(1+$D$45),(E55*E23))</f>
        <v>10.5</v>
      </c>
      <c r="F66" s="80">
        <f t="shared" si="14"/>
        <v>11.025</v>
      </c>
      <c r="G66" s="120">
        <f t="shared" ref="G66:P66" si="15">F66*(1+$D$45)</f>
        <v>11.576250000000002</v>
      </c>
      <c r="H66" s="120">
        <f t="shared" si="15"/>
        <v>12.155062500000001</v>
      </c>
      <c r="I66" s="120">
        <f t="shared" si="15"/>
        <v>12.762815625000002</v>
      </c>
      <c r="J66" s="120">
        <f t="shared" si="15"/>
        <v>13.400956406250003</v>
      </c>
      <c r="K66" s="120">
        <f t="shared" si="15"/>
        <v>14.071004226562504</v>
      </c>
      <c r="L66" s="120">
        <f t="shared" si="15"/>
        <v>14.774554437890631</v>
      </c>
      <c r="M66" s="120">
        <f t="shared" si="15"/>
        <v>15.513282159785163</v>
      </c>
      <c r="N66" s="120">
        <f t="shared" si="15"/>
        <v>16.288946267774421</v>
      </c>
      <c r="O66" s="120">
        <f t="shared" si="15"/>
        <v>17.103393581163143</v>
      </c>
      <c r="P66" s="124">
        <f t="shared" si="15"/>
        <v>17.9585632602213</v>
      </c>
      <c r="Q66" s="50"/>
      <c r="R66" s="50"/>
      <c r="S66" s="50"/>
      <c r="T66" s="50"/>
      <c r="U66" s="50"/>
      <c r="V66" s="50"/>
      <c r="W66" s="50"/>
      <c r="X66" s="50"/>
      <c r="Y66" s="50"/>
      <c r="Z66" s="50"/>
    </row>
    <row r="67" spans="1:26" ht="15.75" customHeight="1" x14ac:dyDescent="0.35">
      <c r="A67" s="50"/>
      <c r="B67" s="53" t="s">
        <v>95</v>
      </c>
      <c r="C67" s="116" t="s">
        <v>94</v>
      </c>
      <c r="D67" s="80">
        <f t="shared" si="13"/>
        <v>10</v>
      </c>
      <c r="E67" s="80">
        <f t="shared" ref="E67:F67" si="16">IF(D67&gt;0,D67*(1+$D$45),(E56*E24))</f>
        <v>10.5</v>
      </c>
      <c r="F67" s="80">
        <f t="shared" si="16"/>
        <v>11.025</v>
      </c>
      <c r="G67" s="120">
        <f t="shared" ref="G67:P67" si="17">F67*(1+$D$45)</f>
        <v>11.576250000000002</v>
      </c>
      <c r="H67" s="120">
        <f t="shared" si="17"/>
        <v>12.155062500000001</v>
      </c>
      <c r="I67" s="120">
        <f t="shared" si="17"/>
        <v>12.762815625000002</v>
      </c>
      <c r="J67" s="120">
        <f t="shared" si="17"/>
        <v>13.400956406250003</v>
      </c>
      <c r="K67" s="120">
        <f t="shared" si="17"/>
        <v>14.071004226562504</v>
      </c>
      <c r="L67" s="120">
        <f t="shared" si="17"/>
        <v>14.774554437890631</v>
      </c>
      <c r="M67" s="120">
        <f t="shared" si="17"/>
        <v>15.513282159785163</v>
      </c>
      <c r="N67" s="120">
        <f t="shared" si="17"/>
        <v>16.288946267774421</v>
      </c>
      <c r="O67" s="120">
        <f t="shared" si="17"/>
        <v>17.103393581163143</v>
      </c>
      <c r="P67" s="124">
        <f t="shared" si="17"/>
        <v>17.9585632602213</v>
      </c>
      <c r="Q67" s="50"/>
      <c r="R67" s="50"/>
      <c r="S67" s="50"/>
      <c r="T67" s="50"/>
      <c r="U67" s="50"/>
      <c r="V67" s="50"/>
      <c r="W67" s="50"/>
      <c r="X67" s="50"/>
      <c r="Y67" s="50"/>
      <c r="Z67" s="50"/>
    </row>
    <row r="68" spans="1:26" ht="15.75" customHeight="1" x14ac:dyDescent="0.35">
      <c r="A68" s="50"/>
      <c r="B68" s="53" t="s">
        <v>96</v>
      </c>
      <c r="C68" s="116" t="s">
        <v>94</v>
      </c>
      <c r="D68" s="80">
        <f t="shared" si="13"/>
        <v>0</v>
      </c>
      <c r="E68" s="80">
        <f t="shared" ref="E68:F68" si="18">IF(D68&gt;0,D68*(1+$D$45),(E57*E25))</f>
        <v>10.1</v>
      </c>
      <c r="F68" s="80">
        <f t="shared" si="18"/>
        <v>10.605</v>
      </c>
      <c r="G68" s="120">
        <f t="shared" ref="G68:P68" si="19">F68*(1+$D$45)</f>
        <v>11.135250000000001</v>
      </c>
      <c r="H68" s="120">
        <f t="shared" si="19"/>
        <v>11.692012500000002</v>
      </c>
      <c r="I68" s="120">
        <f t="shared" si="19"/>
        <v>12.276613125000003</v>
      </c>
      <c r="J68" s="120">
        <f t="shared" si="19"/>
        <v>12.890443781250003</v>
      </c>
      <c r="K68" s="120">
        <f t="shared" si="19"/>
        <v>13.534965970312504</v>
      </c>
      <c r="L68" s="120">
        <f t="shared" si="19"/>
        <v>14.21171426882813</v>
      </c>
      <c r="M68" s="120">
        <f t="shared" si="19"/>
        <v>14.922299982269537</v>
      </c>
      <c r="N68" s="120">
        <f t="shared" si="19"/>
        <v>15.668414981383014</v>
      </c>
      <c r="O68" s="120">
        <f t="shared" si="19"/>
        <v>16.451835730452167</v>
      </c>
      <c r="P68" s="124">
        <f t="shared" si="19"/>
        <v>17.274427516974775</v>
      </c>
      <c r="Q68" s="50"/>
      <c r="R68" s="50"/>
      <c r="S68" s="50"/>
      <c r="T68" s="50"/>
      <c r="U68" s="50"/>
      <c r="V68" s="50"/>
      <c r="W68" s="50"/>
      <c r="X68" s="50"/>
      <c r="Y68" s="50"/>
      <c r="Z68" s="50"/>
    </row>
    <row r="69" spans="1:26" ht="15.75" customHeight="1" x14ac:dyDescent="0.35">
      <c r="A69" s="50"/>
      <c r="B69" s="53" t="s">
        <v>97</v>
      </c>
      <c r="C69" s="116" t="s">
        <v>94</v>
      </c>
      <c r="D69" s="80">
        <f t="shared" si="13"/>
        <v>10</v>
      </c>
      <c r="E69" s="80">
        <f t="shared" ref="E69:F69" si="20">IF(D69&gt;0,D69*(1+$D$45),(E58*E26))</f>
        <v>10.5</v>
      </c>
      <c r="F69" s="80">
        <f t="shared" si="20"/>
        <v>11.025</v>
      </c>
      <c r="G69" s="120">
        <f t="shared" ref="G69:P69" si="21">F69*(1+$D$45)</f>
        <v>11.576250000000002</v>
      </c>
      <c r="H69" s="120">
        <f t="shared" si="21"/>
        <v>12.155062500000001</v>
      </c>
      <c r="I69" s="120">
        <f t="shared" si="21"/>
        <v>12.762815625000002</v>
      </c>
      <c r="J69" s="120">
        <f t="shared" si="21"/>
        <v>13.400956406250003</v>
      </c>
      <c r="K69" s="120">
        <f t="shared" si="21"/>
        <v>14.071004226562504</v>
      </c>
      <c r="L69" s="120">
        <f t="shared" si="21"/>
        <v>14.774554437890631</v>
      </c>
      <c r="M69" s="120">
        <f t="shared" si="21"/>
        <v>15.513282159785163</v>
      </c>
      <c r="N69" s="120">
        <f t="shared" si="21"/>
        <v>16.288946267774421</v>
      </c>
      <c r="O69" s="120">
        <f t="shared" si="21"/>
        <v>17.103393581163143</v>
      </c>
      <c r="P69" s="124">
        <f t="shared" si="21"/>
        <v>17.9585632602213</v>
      </c>
      <c r="Q69" s="50"/>
      <c r="R69" s="50"/>
      <c r="S69" s="50"/>
      <c r="T69" s="50"/>
      <c r="U69" s="50"/>
      <c r="V69" s="50"/>
      <c r="W69" s="50"/>
      <c r="X69" s="50"/>
      <c r="Y69" s="50"/>
      <c r="Z69" s="50"/>
    </row>
    <row r="70" spans="1:26" ht="15.75" customHeight="1" x14ac:dyDescent="0.35">
      <c r="A70" s="50"/>
      <c r="B70" s="53" t="s">
        <v>98</v>
      </c>
      <c r="C70" s="116" t="s">
        <v>94</v>
      </c>
      <c r="D70" s="80">
        <f t="shared" si="13"/>
        <v>10</v>
      </c>
      <c r="E70" s="80">
        <f t="shared" ref="E70:F70" si="22">IF(D70&gt;0,D70*(1+$D$45),(E59*E27))</f>
        <v>10.5</v>
      </c>
      <c r="F70" s="80">
        <f t="shared" si="22"/>
        <v>11.025</v>
      </c>
      <c r="G70" s="120">
        <f t="shared" ref="G70:P70" si="23">F70*(1+$D$45)</f>
        <v>11.576250000000002</v>
      </c>
      <c r="H70" s="120">
        <f t="shared" si="23"/>
        <v>12.155062500000001</v>
      </c>
      <c r="I70" s="120">
        <f t="shared" si="23"/>
        <v>12.762815625000002</v>
      </c>
      <c r="J70" s="120">
        <f t="shared" si="23"/>
        <v>13.400956406250003</v>
      </c>
      <c r="K70" s="120">
        <f t="shared" si="23"/>
        <v>14.071004226562504</v>
      </c>
      <c r="L70" s="120">
        <f t="shared" si="23"/>
        <v>14.774554437890631</v>
      </c>
      <c r="M70" s="120">
        <f t="shared" si="23"/>
        <v>15.513282159785163</v>
      </c>
      <c r="N70" s="120">
        <f t="shared" si="23"/>
        <v>16.288946267774421</v>
      </c>
      <c r="O70" s="120">
        <f t="shared" si="23"/>
        <v>17.103393581163143</v>
      </c>
      <c r="P70" s="124">
        <f t="shared" si="23"/>
        <v>17.9585632602213</v>
      </c>
      <c r="Q70" s="50"/>
      <c r="R70" s="50"/>
      <c r="S70" s="50"/>
      <c r="T70" s="50"/>
      <c r="U70" s="50"/>
      <c r="V70" s="50"/>
      <c r="W70" s="50"/>
      <c r="X70" s="50"/>
      <c r="Y70" s="50"/>
      <c r="Z70" s="50"/>
    </row>
    <row r="71" spans="1:26" ht="15.75" customHeight="1" x14ac:dyDescent="0.35">
      <c r="A71" s="50"/>
      <c r="B71" s="53" t="s">
        <v>99</v>
      </c>
      <c r="C71" s="116" t="s">
        <v>94</v>
      </c>
      <c r="D71" s="80">
        <f t="shared" si="13"/>
        <v>0</v>
      </c>
      <c r="E71" s="80">
        <f t="shared" ref="E71:F71" si="24">IF(D71&gt;0,D71*(1+$D$45),(E60*E28))</f>
        <v>0</v>
      </c>
      <c r="F71" s="80">
        <f t="shared" si="24"/>
        <v>10.201000000000001</v>
      </c>
      <c r="G71" s="120">
        <f t="shared" ref="G71:P71" si="25">F71*(1+$D$45)</f>
        <v>10.71105</v>
      </c>
      <c r="H71" s="120">
        <f t="shared" si="25"/>
        <v>11.2466025</v>
      </c>
      <c r="I71" s="120">
        <f t="shared" si="25"/>
        <v>11.808932625000001</v>
      </c>
      <c r="J71" s="120">
        <f t="shared" si="25"/>
        <v>12.39937925625</v>
      </c>
      <c r="K71" s="120">
        <f t="shared" si="25"/>
        <v>13.019348219062501</v>
      </c>
      <c r="L71" s="120">
        <f t="shared" si="25"/>
        <v>13.670315630015626</v>
      </c>
      <c r="M71" s="120">
        <f t="shared" si="25"/>
        <v>14.353831411516408</v>
      </c>
      <c r="N71" s="120">
        <f t="shared" si="25"/>
        <v>15.07152298209223</v>
      </c>
      <c r="O71" s="120">
        <f t="shared" si="25"/>
        <v>15.825099131196842</v>
      </c>
      <c r="P71" s="124">
        <f t="shared" si="25"/>
        <v>16.616354087756683</v>
      </c>
      <c r="Q71" s="50"/>
      <c r="R71" s="50"/>
      <c r="S71" s="50"/>
      <c r="T71" s="50"/>
      <c r="U71" s="50"/>
      <c r="V71" s="50"/>
      <c r="W71" s="50"/>
      <c r="X71" s="50"/>
      <c r="Y71" s="50"/>
      <c r="Z71" s="50"/>
    </row>
    <row r="72" spans="1:26" ht="15.75" customHeight="1" x14ac:dyDescent="0.35">
      <c r="A72" s="50"/>
      <c r="B72" s="53" t="s">
        <v>100</v>
      </c>
      <c r="C72" s="116" t="s">
        <v>94</v>
      </c>
      <c r="D72" s="80">
        <f t="shared" si="13"/>
        <v>0</v>
      </c>
      <c r="E72" s="80">
        <f t="shared" ref="E72:F72" si="26">IF(D72&gt;0,D72*(1+$D$45),(E61*E29))</f>
        <v>0</v>
      </c>
      <c r="F72" s="80">
        <f t="shared" si="26"/>
        <v>10.201000000000001</v>
      </c>
      <c r="G72" s="120">
        <f t="shared" ref="G72:P72" si="27">F72*(1+$D$45)</f>
        <v>10.71105</v>
      </c>
      <c r="H72" s="120">
        <f t="shared" si="27"/>
        <v>11.2466025</v>
      </c>
      <c r="I72" s="120">
        <f t="shared" si="27"/>
        <v>11.808932625000001</v>
      </c>
      <c r="J72" s="120">
        <f t="shared" si="27"/>
        <v>12.39937925625</v>
      </c>
      <c r="K72" s="120">
        <f t="shared" si="27"/>
        <v>13.019348219062501</v>
      </c>
      <c r="L72" s="120">
        <f t="shared" si="27"/>
        <v>13.670315630015626</v>
      </c>
      <c r="M72" s="120">
        <f t="shared" si="27"/>
        <v>14.353831411516408</v>
      </c>
      <c r="N72" s="120">
        <f t="shared" si="27"/>
        <v>15.07152298209223</v>
      </c>
      <c r="O72" s="120">
        <f t="shared" si="27"/>
        <v>15.825099131196842</v>
      </c>
      <c r="P72" s="124">
        <f t="shared" si="27"/>
        <v>16.616354087756683</v>
      </c>
      <c r="Q72" s="50"/>
      <c r="R72" s="50"/>
      <c r="S72" s="50"/>
      <c r="T72" s="50"/>
      <c r="U72" s="50"/>
      <c r="V72" s="50"/>
      <c r="W72" s="50"/>
      <c r="X72" s="50"/>
      <c r="Y72" s="50"/>
      <c r="Z72" s="50"/>
    </row>
    <row r="73" spans="1:26" ht="15.75" customHeight="1" x14ac:dyDescent="0.35">
      <c r="A73" s="50"/>
      <c r="B73" s="53" t="s">
        <v>101</v>
      </c>
      <c r="C73" s="116" t="s">
        <v>94</v>
      </c>
      <c r="D73" s="80">
        <f t="shared" si="13"/>
        <v>0</v>
      </c>
      <c r="E73" s="80">
        <f t="shared" ref="E73:F73" si="28">IF(D73&gt;0,D73*(1+$D$45),(E62*E30))</f>
        <v>0</v>
      </c>
      <c r="F73" s="80">
        <f t="shared" si="28"/>
        <v>10.201000000000001</v>
      </c>
      <c r="G73" s="120">
        <f t="shared" ref="G73:P73" si="29">F73*(1+$D$45)</f>
        <v>10.71105</v>
      </c>
      <c r="H73" s="120">
        <f t="shared" si="29"/>
        <v>11.2466025</v>
      </c>
      <c r="I73" s="120">
        <f t="shared" si="29"/>
        <v>11.808932625000001</v>
      </c>
      <c r="J73" s="120">
        <f t="shared" si="29"/>
        <v>12.39937925625</v>
      </c>
      <c r="K73" s="120">
        <f t="shared" si="29"/>
        <v>13.019348219062501</v>
      </c>
      <c r="L73" s="120">
        <f t="shared" si="29"/>
        <v>13.670315630015626</v>
      </c>
      <c r="M73" s="120">
        <f t="shared" si="29"/>
        <v>14.353831411516408</v>
      </c>
      <c r="N73" s="120">
        <f t="shared" si="29"/>
        <v>15.07152298209223</v>
      </c>
      <c r="O73" s="120">
        <f t="shared" si="29"/>
        <v>15.825099131196842</v>
      </c>
      <c r="P73" s="124">
        <f t="shared" si="29"/>
        <v>16.616354087756683</v>
      </c>
      <c r="Q73" s="50"/>
      <c r="R73" s="50"/>
      <c r="S73" s="50"/>
      <c r="T73" s="50"/>
      <c r="U73" s="50"/>
      <c r="V73" s="50"/>
      <c r="W73" s="50"/>
      <c r="X73" s="50"/>
      <c r="Y73" s="50"/>
      <c r="Z73" s="50"/>
    </row>
    <row r="74" spans="1:26" ht="15.75" customHeight="1" x14ac:dyDescent="0.35">
      <c r="A74" s="50"/>
      <c r="B74" s="53" t="s">
        <v>102</v>
      </c>
      <c r="C74" s="116" t="s">
        <v>94</v>
      </c>
      <c r="D74" s="80">
        <f t="shared" si="13"/>
        <v>0</v>
      </c>
      <c r="E74" s="80">
        <f t="shared" ref="E74:F74" si="30">IF(D74&gt;0,D74*(1+$D$45),(E63*E31))</f>
        <v>0</v>
      </c>
      <c r="F74" s="80">
        <f t="shared" si="30"/>
        <v>0</v>
      </c>
      <c r="G74" s="120">
        <f t="shared" ref="G74:P74" si="31">F74*(1+$D$45)</f>
        <v>0</v>
      </c>
      <c r="H74" s="120">
        <f t="shared" si="31"/>
        <v>0</v>
      </c>
      <c r="I74" s="120">
        <f t="shared" si="31"/>
        <v>0</v>
      </c>
      <c r="J74" s="120">
        <f t="shared" si="31"/>
        <v>0</v>
      </c>
      <c r="K74" s="120">
        <f t="shared" si="31"/>
        <v>0</v>
      </c>
      <c r="L74" s="120">
        <f t="shared" si="31"/>
        <v>0</v>
      </c>
      <c r="M74" s="120">
        <f t="shared" si="31"/>
        <v>0</v>
      </c>
      <c r="N74" s="120">
        <f t="shared" si="31"/>
        <v>0</v>
      </c>
      <c r="O74" s="120">
        <f t="shared" si="31"/>
        <v>0</v>
      </c>
      <c r="P74" s="124">
        <f t="shared" si="31"/>
        <v>0</v>
      </c>
      <c r="Q74" s="50"/>
      <c r="R74" s="50"/>
      <c r="S74" s="50"/>
      <c r="T74" s="50"/>
      <c r="U74" s="50"/>
      <c r="V74" s="50"/>
      <c r="W74" s="50"/>
      <c r="X74" s="50"/>
      <c r="Y74" s="50"/>
      <c r="Z74" s="50"/>
    </row>
    <row r="75" spans="1:26" ht="15.75" customHeight="1" x14ac:dyDescent="0.35">
      <c r="A75" s="32"/>
      <c r="B75" s="58" t="s">
        <v>65</v>
      </c>
      <c r="C75" s="116" t="s">
        <v>94</v>
      </c>
      <c r="D75" s="118">
        <f t="shared" ref="D75:P75" si="32">SUM(D66:D74)</f>
        <v>40</v>
      </c>
      <c r="E75" s="118">
        <f t="shared" si="32"/>
        <v>52.1</v>
      </c>
      <c r="F75" s="118">
        <f t="shared" si="32"/>
        <v>85.307999999999993</v>
      </c>
      <c r="G75" s="118">
        <f t="shared" si="32"/>
        <v>89.573400000000007</v>
      </c>
      <c r="H75" s="118">
        <f t="shared" si="32"/>
        <v>94.052069999999986</v>
      </c>
      <c r="I75" s="118">
        <f t="shared" si="32"/>
        <v>98.75467350000001</v>
      </c>
      <c r="J75" s="118">
        <f t="shared" si="32"/>
        <v>103.69240717500001</v>
      </c>
      <c r="K75" s="118">
        <f t="shared" si="32"/>
        <v>108.87702753375001</v>
      </c>
      <c r="L75" s="118">
        <f t="shared" si="32"/>
        <v>114.32087891043751</v>
      </c>
      <c r="M75" s="118">
        <f t="shared" si="32"/>
        <v>120.03692285595942</v>
      </c>
      <c r="N75" s="118">
        <f t="shared" si="32"/>
        <v>126.03876899875739</v>
      </c>
      <c r="O75" s="118">
        <f t="shared" si="32"/>
        <v>132.34070744869527</v>
      </c>
      <c r="P75" s="119">
        <f t="shared" si="32"/>
        <v>138.95774282113004</v>
      </c>
      <c r="Q75" s="32"/>
      <c r="R75" s="32"/>
      <c r="S75" s="32"/>
      <c r="T75" s="32"/>
      <c r="U75" s="32"/>
      <c r="V75" s="32"/>
      <c r="W75" s="32"/>
      <c r="X75" s="32"/>
      <c r="Y75" s="32"/>
      <c r="Z75" s="32"/>
    </row>
    <row r="76" spans="1:26" ht="15.75" customHeight="1" x14ac:dyDescent="0.35">
      <c r="A76" s="50"/>
      <c r="B76" s="62" t="s">
        <v>135</v>
      </c>
      <c r="C76" s="54"/>
      <c r="D76" s="128"/>
      <c r="E76" s="50"/>
      <c r="F76" s="50"/>
      <c r="G76" s="50"/>
      <c r="H76" s="50"/>
      <c r="I76" s="50"/>
      <c r="J76" s="50"/>
      <c r="K76" s="50"/>
      <c r="L76" s="50"/>
      <c r="M76" s="50"/>
      <c r="N76" s="50"/>
      <c r="O76" s="50"/>
      <c r="P76" s="115"/>
      <c r="Q76" s="50"/>
      <c r="R76" s="50"/>
      <c r="S76" s="50"/>
      <c r="T76" s="50"/>
      <c r="U76" s="50"/>
      <c r="V76" s="50"/>
      <c r="W76" s="50"/>
      <c r="X76" s="50"/>
      <c r="Y76" s="50"/>
      <c r="Z76" s="50"/>
    </row>
    <row r="77" spans="1:26" ht="15.75" customHeight="1" x14ac:dyDescent="0.35">
      <c r="A77" s="50"/>
      <c r="B77" s="53" t="s">
        <v>93</v>
      </c>
      <c r="C77" s="54"/>
      <c r="D77" s="126">
        <f>'1.Red. Purch. Cost Patient Care'!F38*'Red. Purch. Cost Patient Care-N'!D33</f>
        <v>22</v>
      </c>
      <c r="E77" s="126">
        <f t="shared" ref="E77:P77" si="33">D77*(1+$D$49)</f>
        <v>22.22</v>
      </c>
      <c r="F77" s="126">
        <f t="shared" si="33"/>
        <v>22.4422</v>
      </c>
      <c r="G77" s="126">
        <f t="shared" si="33"/>
        <v>22.666622</v>
      </c>
      <c r="H77" s="126">
        <f t="shared" si="33"/>
        <v>22.893288219999999</v>
      </c>
      <c r="I77" s="126">
        <f t="shared" si="33"/>
        <v>23.122221102199997</v>
      </c>
      <c r="J77" s="126">
        <f t="shared" si="33"/>
        <v>23.353443313221998</v>
      </c>
      <c r="K77" s="126">
        <f t="shared" si="33"/>
        <v>23.586977746354219</v>
      </c>
      <c r="L77" s="126">
        <f t="shared" si="33"/>
        <v>23.82284752381776</v>
      </c>
      <c r="M77" s="126">
        <f t="shared" si="33"/>
        <v>24.061075999055937</v>
      </c>
      <c r="N77" s="126">
        <f t="shared" si="33"/>
        <v>24.301686759046497</v>
      </c>
      <c r="O77" s="126">
        <f t="shared" si="33"/>
        <v>24.544703626636963</v>
      </c>
      <c r="P77" s="127">
        <f t="shared" si="33"/>
        <v>24.790150662903333</v>
      </c>
      <c r="Q77" s="50"/>
      <c r="R77" s="50"/>
      <c r="S77" s="50"/>
      <c r="T77" s="50"/>
      <c r="U77" s="50"/>
      <c r="V77" s="50"/>
      <c r="W77" s="50"/>
      <c r="X77" s="50"/>
      <c r="Y77" s="50"/>
      <c r="Z77" s="50"/>
    </row>
    <row r="78" spans="1:26" ht="15.75" customHeight="1" x14ac:dyDescent="0.35">
      <c r="A78" s="50"/>
      <c r="B78" s="53" t="s">
        <v>95</v>
      </c>
      <c r="C78" s="50"/>
      <c r="D78" s="126">
        <f>'1.Red. Purch. Cost Patient Care'!F39*'Red. Purch. Cost Patient Care-N'!D34</f>
        <v>9</v>
      </c>
      <c r="E78" s="126">
        <f t="shared" ref="E78:P78" si="34">D78*(1+$D$49)</f>
        <v>9.09</v>
      </c>
      <c r="F78" s="126">
        <f t="shared" si="34"/>
        <v>9.1808999999999994</v>
      </c>
      <c r="G78" s="126">
        <f t="shared" si="34"/>
        <v>9.272708999999999</v>
      </c>
      <c r="H78" s="126">
        <f t="shared" si="34"/>
        <v>9.3654360899999993</v>
      </c>
      <c r="I78" s="126">
        <f t="shared" si="34"/>
        <v>9.4590904508999998</v>
      </c>
      <c r="J78" s="126">
        <f t="shared" si="34"/>
        <v>9.5536813554089992</v>
      </c>
      <c r="K78" s="126">
        <f t="shared" si="34"/>
        <v>9.64921816896309</v>
      </c>
      <c r="L78" s="126">
        <f t="shared" si="34"/>
        <v>9.7457103506527218</v>
      </c>
      <c r="M78" s="126">
        <f t="shared" si="34"/>
        <v>9.84316745415925</v>
      </c>
      <c r="N78" s="126">
        <f t="shared" si="34"/>
        <v>9.9415991287008421</v>
      </c>
      <c r="O78" s="126">
        <f t="shared" si="34"/>
        <v>10.041015119987851</v>
      </c>
      <c r="P78" s="127">
        <f t="shared" si="34"/>
        <v>10.14142527118773</v>
      </c>
      <c r="Q78" s="50"/>
      <c r="R78" s="50"/>
      <c r="S78" s="50"/>
      <c r="T78" s="50"/>
      <c r="U78" s="50"/>
      <c r="V78" s="50"/>
      <c r="W78" s="50"/>
      <c r="X78" s="50"/>
      <c r="Y78" s="50"/>
      <c r="Z78" s="50"/>
    </row>
    <row r="79" spans="1:26" ht="15.75" customHeight="1" x14ac:dyDescent="0.35">
      <c r="A79" s="50"/>
      <c r="B79" s="53" t="s">
        <v>96</v>
      </c>
      <c r="C79" s="47"/>
      <c r="D79" s="126">
        <f>'1.Red. Purch. Cost Patient Care'!F40*'Red. Purch. Cost Patient Care-N'!D35</f>
        <v>37</v>
      </c>
      <c r="E79" s="126">
        <f t="shared" ref="E79:P79" si="35">D79*(1+$D$49)</f>
        <v>37.369999999999997</v>
      </c>
      <c r="F79" s="126">
        <f t="shared" si="35"/>
        <v>37.743699999999997</v>
      </c>
      <c r="G79" s="126">
        <f t="shared" si="35"/>
        <v>38.121136999999997</v>
      </c>
      <c r="H79" s="126">
        <f t="shared" si="35"/>
        <v>38.50234837</v>
      </c>
      <c r="I79" s="126">
        <f t="shared" si="35"/>
        <v>38.887371853700003</v>
      </c>
      <c r="J79" s="126">
        <f t="shared" si="35"/>
        <v>39.276245572237002</v>
      </c>
      <c r="K79" s="126">
        <f t="shared" si="35"/>
        <v>39.669008027959372</v>
      </c>
      <c r="L79" s="126">
        <f t="shared" si="35"/>
        <v>40.065698108238962</v>
      </c>
      <c r="M79" s="126">
        <f t="shared" si="35"/>
        <v>40.466355089321354</v>
      </c>
      <c r="N79" s="126">
        <f t="shared" si="35"/>
        <v>40.871018640214565</v>
      </c>
      <c r="O79" s="126">
        <f t="shared" si="35"/>
        <v>41.279728826616712</v>
      </c>
      <c r="P79" s="127">
        <f t="shared" si="35"/>
        <v>41.692526114882881</v>
      </c>
      <c r="Q79" s="50"/>
      <c r="R79" s="50"/>
      <c r="S79" s="50"/>
      <c r="T79" s="50"/>
      <c r="U79" s="50"/>
      <c r="V79" s="50"/>
      <c r="W79" s="50"/>
      <c r="X79" s="50"/>
      <c r="Y79" s="50"/>
      <c r="Z79" s="50"/>
    </row>
    <row r="80" spans="1:26" ht="15.75" customHeight="1" x14ac:dyDescent="0.35">
      <c r="A80" s="50"/>
      <c r="B80" s="53" t="s">
        <v>97</v>
      </c>
      <c r="C80" s="47"/>
      <c r="D80" s="126">
        <f>'1.Red. Purch. Cost Patient Care'!F41*'Red. Purch. Cost Patient Care-N'!D36</f>
        <v>23</v>
      </c>
      <c r="E80" s="126">
        <f t="shared" ref="E80:P80" si="36">D80*(1+$D$49)</f>
        <v>23.23</v>
      </c>
      <c r="F80" s="126">
        <f t="shared" si="36"/>
        <v>23.462299999999999</v>
      </c>
      <c r="G80" s="126">
        <f t="shared" si="36"/>
        <v>23.696922999999998</v>
      </c>
      <c r="H80" s="126">
        <f t="shared" si="36"/>
        <v>23.933892229999998</v>
      </c>
      <c r="I80" s="126">
        <f t="shared" si="36"/>
        <v>24.173231152299998</v>
      </c>
      <c r="J80" s="126">
        <f t="shared" si="36"/>
        <v>24.414963463823</v>
      </c>
      <c r="K80" s="126">
        <f t="shared" si="36"/>
        <v>24.65911309846123</v>
      </c>
      <c r="L80" s="126">
        <f t="shared" si="36"/>
        <v>24.905704229445842</v>
      </c>
      <c r="M80" s="126">
        <f t="shared" si="36"/>
        <v>25.154761271740302</v>
      </c>
      <c r="N80" s="126">
        <f t="shared" si="36"/>
        <v>25.406308884457705</v>
      </c>
      <c r="O80" s="126">
        <f t="shared" si="36"/>
        <v>25.660371973302283</v>
      </c>
      <c r="P80" s="127">
        <f t="shared" si="36"/>
        <v>25.916975693035305</v>
      </c>
      <c r="Q80" s="50"/>
      <c r="R80" s="50"/>
      <c r="S80" s="50"/>
      <c r="T80" s="50"/>
      <c r="U80" s="50"/>
      <c r="V80" s="50"/>
      <c r="W80" s="50"/>
      <c r="X80" s="50"/>
      <c r="Y80" s="50"/>
      <c r="Z80" s="50"/>
    </row>
    <row r="81" spans="1:26" ht="15.75" customHeight="1" x14ac:dyDescent="0.35">
      <c r="A81" s="50"/>
      <c r="B81" s="53" t="s">
        <v>98</v>
      </c>
      <c r="C81" s="47"/>
      <c r="D81" s="126">
        <f>'1.Red. Purch. Cost Patient Care'!F42*'Red. Purch. Cost Patient Care-N'!D37</f>
        <v>23</v>
      </c>
      <c r="E81" s="126">
        <f t="shared" ref="E81:P81" si="37">D81*(1+$D$49)</f>
        <v>23.23</v>
      </c>
      <c r="F81" s="126">
        <f t="shared" si="37"/>
        <v>23.462299999999999</v>
      </c>
      <c r="G81" s="126">
        <f t="shared" si="37"/>
        <v>23.696922999999998</v>
      </c>
      <c r="H81" s="126">
        <f t="shared" si="37"/>
        <v>23.933892229999998</v>
      </c>
      <c r="I81" s="126">
        <f t="shared" si="37"/>
        <v>24.173231152299998</v>
      </c>
      <c r="J81" s="126">
        <f t="shared" si="37"/>
        <v>24.414963463823</v>
      </c>
      <c r="K81" s="126">
        <f t="shared" si="37"/>
        <v>24.65911309846123</v>
      </c>
      <c r="L81" s="126">
        <f t="shared" si="37"/>
        <v>24.905704229445842</v>
      </c>
      <c r="M81" s="126">
        <f t="shared" si="37"/>
        <v>25.154761271740302</v>
      </c>
      <c r="N81" s="126">
        <f t="shared" si="37"/>
        <v>25.406308884457705</v>
      </c>
      <c r="O81" s="126">
        <f t="shared" si="37"/>
        <v>25.660371973302283</v>
      </c>
      <c r="P81" s="127">
        <f t="shared" si="37"/>
        <v>25.916975693035305</v>
      </c>
      <c r="Q81" s="50"/>
      <c r="R81" s="50"/>
      <c r="S81" s="50"/>
      <c r="T81" s="50"/>
      <c r="U81" s="50"/>
      <c r="V81" s="50"/>
      <c r="W81" s="50"/>
      <c r="X81" s="50"/>
      <c r="Y81" s="50"/>
      <c r="Z81" s="50"/>
    </row>
    <row r="82" spans="1:26" ht="15.75" customHeight="1" x14ac:dyDescent="0.35">
      <c r="A82" s="50"/>
      <c r="B82" s="53" t="s">
        <v>99</v>
      </c>
      <c r="C82" s="47"/>
      <c r="D82" s="126">
        <f>'1.Red. Purch. Cost Patient Care'!F43*'Red. Purch. Cost Patient Care-N'!D38</f>
        <v>23</v>
      </c>
      <c r="E82" s="126">
        <f t="shared" ref="E82:P82" si="38">D82*(1+$D$49)</f>
        <v>23.23</v>
      </c>
      <c r="F82" s="126">
        <f t="shared" si="38"/>
        <v>23.462299999999999</v>
      </c>
      <c r="G82" s="126">
        <f t="shared" si="38"/>
        <v>23.696922999999998</v>
      </c>
      <c r="H82" s="126">
        <f t="shared" si="38"/>
        <v>23.933892229999998</v>
      </c>
      <c r="I82" s="126">
        <f t="shared" si="38"/>
        <v>24.173231152299998</v>
      </c>
      <c r="J82" s="126">
        <f t="shared" si="38"/>
        <v>24.414963463823</v>
      </c>
      <c r="K82" s="126">
        <f t="shared" si="38"/>
        <v>24.65911309846123</v>
      </c>
      <c r="L82" s="126">
        <f t="shared" si="38"/>
        <v>24.905704229445842</v>
      </c>
      <c r="M82" s="126">
        <f t="shared" si="38"/>
        <v>25.154761271740302</v>
      </c>
      <c r="N82" s="126">
        <f t="shared" si="38"/>
        <v>25.406308884457705</v>
      </c>
      <c r="O82" s="126">
        <f t="shared" si="38"/>
        <v>25.660371973302283</v>
      </c>
      <c r="P82" s="127">
        <f t="shared" si="38"/>
        <v>25.916975693035305</v>
      </c>
      <c r="Q82" s="50"/>
      <c r="R82" s="50"/>
      <c r="S82" s="50"/>
      <c r="T82" s="50"/>
      <c r="U82" s="50"/>
      <c r="V82" s="50"/>
      <c r="W82" s="50"/>
      <c r="X82" s="50"/>
      <c r="Y82" s="50"/>
      <c r="Z82" s="50"/>
    </row>
    <row r="83" spans="1:26" ht="15.75" customHeight="1" x14ac:dyDescent="0.35">
      <c r="A83" s="50"/>
      <c r="B83" s="53" t="s">
        <v>100</v>
      </c>
      <c r="C83" s="47"/>
      <c r="D83" s="126">
        <f>'1.Red. Purch. Cost Patient Care'!F44*'Red. Purch. Cost Patient Care-N'!D39</f>
        <v>23</v>
      </c>
      <c r="E83" s="126">
        <f t="shared" ref="E83:P83" si="39">D83*(1+$D$49)</f>
        <v>23.23</v>
      </c>
      <c r="F83" s="126">
        <f t="shared" si="39"/>
        <v>23.462299999999999</v>
      </c>
      <c r="G83" s="126">
        <f t="shared" si="39"/>
        <v>23.696922999999998</v>
      </c>
      <c r="H83" s="126">
        <f t="shared" si="39"/>
        <v>23.933892229999998</v>
      </c>
      <c r="I83" s="126">
        <f t="shared" si="39"/>
        <v>24.173231152299998</v>
      </c>
      <c r="J83" s="126">
        <f t="shared" si="39"/>
        <v>24.414963463823</v>
      </c>
      <c r="K83" s="126">
        <f t="shared" si="39"/>
        <v>24.65911309846123</v>
      </c>
      <c r="L83" s="126">
        <f t="shared" si="39"/>
        <v>24.905704229445842</v>
      </c>
      <c r="M83" s="126">
        <f t="shared" si="39"/>
        <v>25.154761271740302</v>
      </c>
      <c r="N83" s="126">
        <f t="shared" si="39"/>
        <v>25.406308884457705</v>
      </c>
      <c r="O83" s="126">
        <f t="shared" si="39"/>
        <v>25.660371973302283</v>
      </c>
      <c r="P83" s="127">
        <f t="shared" si="39"/>
        <v>25.916975693035305</v>
      </c>
      <c r="Q83" s="50"/>
      <c r="R83" s="50"/>
      <c r="S83" s="50"/>
      <c r="T83" s="50"/>
      <c r="U83" s="50"/>
      <c r="V83" s="50"/>
      <c r="W83" s="50"/>
      <c r="X83" s="50"/>
      <c r="Y83" s="50"/>
      <c r="Z83" s="50"/>
    </row>
    <row r="84" spans="1:26" ht="15.75" customHeight="1" x14ac:dyDescent="0.35">
      <c r="A84" s="50"/>
      <c r="B84" s="53" t="s">
        <v>101</v>
      </c>
      <c r="C84" s="47"/>
      <c r="D84" s="126">
        <f>'1.Red. Purch. Cost Patient Care'!F45*'Red. Purch. Cost Patient Care-N'!D40</f>
        <v>23</v>
      </c>
      <c r="E84" s="126">
        <f t="shared" ref="E84:P84" si="40">D84*(1+$D$49)</f>
        <v>23.23</v>
      </c>
      <c r="F84" s="126">
        <f t="shared" si="40"/>
        <v>23.462299999999999</v>
      </c>
      <c r="G84" s="126">
        <f t="shared" si="40"/>
        <v>23.696922999999998</v>
      </c>
      <c r="H84" s="126">
        <f t="shared" si="40"/>
        <v>23.933892229999998</v>
      </c>
      <c r="I84" s="126">
        <f t="shared" si="40"/>
        <v>24.173231152299998</v>
      </c>
      <c r="J84" s="126">
        <f t="shared" si="40"/>
        <v>24.414963463823</v>
      </c>
      <c r="K84" s="126">
        <f t="shared" si="40"/>
        <v>24.65911309846123</v>
      </c>
      <c r="L84" s="126">
        <f t="shared" si="40"/>
        <v>24.905704229445842</v>
      </c>
      <c r="M84" s="126">
        <f t="shared" si="40"/>
        <v>25.154761271740302</v>
      </c>
      <c r="N84" s="126">
        <f t="shared" si="40"/>
        <v>25.406308884457705</v>
      </c>
      <c r="O84" s="126">
        <f t="shared" si="40"/>
        <v>25.660371973302283</v>
      </c>
      <c r="P84" s="127">
        <f t="shared" si="40"/>
        <v>25.916975693035305</v>
      </c>
      <c r="Q84" s="50"/>
      <c r="R84" s="50"/>
      <c r="S84" s="50"/>
      <c r="T84" s="50"/>
      <c r="U84" s="50"/>
      <c r="V84" s="50"/>
      <c r="W84" s="50"/>
      <c r="X84" s="50"/>
      <c r="Y84" s="50"/>
      <c r="Z84" s="50"/>
    </row>
    <row r="85" spans="1:26" ht="15.75" customHeight="1" x14ac:dyDescent="0.35">
      <c r="A85" s="50"/>
      <c r="B85" s="53" t="s">
        <v>102</v>
      </c>
      <c r="C85" s="47"/>
      <c r="D85" s="126">
        <f>'1.Red. Purch. Cost Patient Care'!F46*'Red. Purch. Cost Patient Care-N'!D41</f>
        <v>23</v>
      </c>
      <c r="E85" s="126">
        <f t="shared" ref="E85:P85" si="41">D85*(1+$D$49)</f>
        <v>23.23</v>
      </c>
      <c r="F85" s="126">
        <f t="shared" si="41"/>
        <v>23.462299999999999</v>
      </c>
      <c r="G85" s="126">
        <f t="shared" si="41"/>
        <v>23.696922999999998</v>
      </c>
      <c r="H85" s="126">
        <f t="shared" si="41"/>
        <v>23.933892229999998</v>
      </c>
      <c r="I85" s="126">
        <f t="shared" si="41"/>
        <v>24.173231152299998</v>
      </c>
      <c r="J85" s="126">
        <f t="shared" si="41"/>
        <v>24.414963463823</v>
      </c>
      <c r="K85" s="126">
        <f t="shared" si="41"/>
        <v>24.65911309846123</v>
      </c>
      <c r="L85" s="126">
        <f t="shared" si="41"/>
        <v>24.905704229445842</v>
      </c>
      <c r="M85" s="126">
        <f t="shared" si="41"/>
        <v>25.154761271740302</v>
      </c>
      <c r="N85" s="126">
        <f t="shared" si="41"/>
        <v>25.406308884457705</v>
      </c>
      <c r="O85" s="126">
        <f t="shared" si="41"/>
        <v>25.660371973302283</v>
      </c>
      <c r="P85" s="127">
        <f t="shared" si="41"/>
        <v>25.916975693035305</v>
      </c>
      <c r="Q85" s="50"/>
      <c r="R85" s="50"/>
      <c r="S85" s="50"/>
      <c r="T85" s="50"/>
      <c r="U85" s="50"/>
      <c r="V85" s="50"/>
      <c r="W85" s="50"/>
      <c r="X85" s="50"/>
      <c r="Y85" s="50"/>
      <c r="Z85" s="50"/>
    </row>
    <row r="86" spans="1:26" ht="15.75" customHeight="1" x14ac:dyDescent="0.35">
      <c r="A86" s="50"/>
      <c r="B86" s="46" t="s">
        <v>236</v>
      </c>
      <c r="C86" s="47"/>
      <c r="D86" s="120"/>
      <c r="E86" s="120"/>
      <c r="F86" s="120"/>
      <c r="G86" s="120"/>
      <c r="H86" s="120"/>
      <c r="I86" s="120"/>
      <c r="J86" s="120"/>
      <c r="K86" s="120"/>
      <c r="L86" s="120"/>
      <c r="M86" s="120"/>
      <c r="N86" s="50"/>
      <c r="O86" s="50"/>
      <c r="P86" s="115"/>
      <c r="Q86" s="50"/>
      <c r="R86" s="50"/>
      <c r="S86" s="50"/>
      <c r="T86" s="50"/>
      <c r="U86" s="50"/>
      <c r="V86" s="50"/>
      <c r="W86" s="50"/>
      <c r="X86" s="50"/>
      <c r="Y86" s="50"/>
      <c r="Z86" s="50"/>
    </row>
    <row r="87" spans="1:26" ht="15.75" customHeight="1" x14ac:dyDescent="0.35">
      <c r="A87" s="50"/>
      <c r="B87" s="53" t="s">
        <v>93</v>
      </c>
      <c r="C87" s="47"/>
      <c r="D87" s="64">
        <f t="shared" ref="D87:P87" si="42">IFERROR(D66*D77,"")</f>
        <v>220</v>
      </c>
      <c r="E87" s="64">
        <f t="shared" si="42"/>
        <v>233.31</v>
      </c>
      <c r="F87" s="64">
        <f t="shared" si="42"/>
        <v>247.42525499999999</v>
      </c>
      <c r="G87" s="64">
        <f t="shared" si="42"/>
        <v>262.39448292750006</v>
      </c>
      <c r="H87" s="64">
        <f t="shared" si="42"/>
        <v>278.26934914461378</v>
      </c>
      <c r="I87" s="64">
        <f t="shared" si="42"/>
        <v>295.10464476786291</v>
      </c>
      <c r="J87" s="64">
        <f t="shared" si="42"/>
        <v>312.95847577631866</v>
      </c>
      <c r="K87" s="64">
        <f t="shared" si="42"/>
        <v>331.89246356078593</v>
      </c>
      <c r="L87" s="64">
        <f t="shared" si="42"/>
        <v>351.97195760621349</v>
      </c>
      <c r="M87" s="64">
        <f t="shared" si="42"/>
        <v>373.26626104138944</v>
      </c>
      <c r="N87" s="64">
        <f t="shared" si="42"/>
        <v>395.8488698343935</v>
      </c>
      <c r="O87" s="64">
        <f t="shared" si="42"/>
        <v>419.79772645937436</v>
      </c>
      <c r="P87" s="122">
        <f t="shared" si="42"/>
        <v>445.19548891016649</v>
      </c>
      <c r="Q87" s="50"/>
      <c r="R87" s="50"/>
      <c r="S87" s="50"/>
      <c r="T87" s="50"/>
      <c r="U87" s="50"/>
      <c r="V87" s="50"/>
      <c r="W87" s="50"/>
      <c r="X87" s="50"/>
      <c r="Y87" s="50"/>
      <c r="Z87" s="50"/>
    </row>
    <row r="88" spans="1:26" ht="15.75" customHeight="1" x14ac:dyDescent="0.35">
      <c r="A88" s="50"/>
      <c r="B88" s="53" t="s">
        <v>95</v>
      </c>
      <c r="C88" s="47"/>
      <c r="D88" s="64">
        <f t="shared" ref="D88:P88" si="43">IFERROR(D67*D78,"")</f>
        <v>90</v>
      </c>
      <c r="E88" s="64">
        <f t="shared" si="43"/>
        <v>95.444999999999993</v>
      </c>
      <c r="F88" s="64">
        <f t="shared" si="43"/>
        <v>101.21942249999999</v>
      </c>
      <c r="G88" s="64">
        <f t="shared" si="43"/>
        <v>107.34319756125001</v>
      </c>
      <c r="H88" s="64">
        <f t="shared" si="43"/>
        <v>113.83746101370564</v>
      </c>
      <c r="I88" s="64">
        <f t="shared" si="43"/>
        <v>120.72462740503482</v>
      </c>
      <c r="J88" s="64">
        <f t="shared" si="43"/>
        <v>128.02846736303945</v>
      </c>
      <c r="K88" s="64">
        <f t="shared" si="43"/>
        <v>135.77418963850334</v>
      </c>
      <c r="L88" s="64">
        <f t="shared" si="43"/>
        <v>143.98852811163283</v>
      </c>
      <c r="M88" s="64">
        <f t="shared" si="43"/>
        <v>152.69983406238663</v>
      </c>
      <c r="N88" s="64">
        <f t="shared" si="43"/>
        <v>161.93817402316103</v>
      </c>
      <c r="O88" s="64">
        <f t="shared" si="43"/>
        <v>171.73543355156227</v>
      </c>
      <c r="P88" s="122">
        <f t="shared" si="43"/>
        <v>182.1254272814318</v>
      </c>
      <c r="Q88" s="50"/>
      <c r="R88" s="50"/>
      <c r="S88" s="50"/>
      <c r="T88" s="50"/>
      <c r="U88" s="50"/>
      <c r="V88" s="50"/>
      <c r="W88" s="50"/>
      <c r="X88" s="50"/>
      <c r="Y88" s="50"/>
      <c r="Z88" s="50"/>
    </row>
    <row r="89" spans="1:26" ht="15.75" customHeight="1" x14ac:dyDescent="0.35">
      <c r="A89" s="50"/>
      <c r="B89" s="53" t="s">
        <v>96</v>
      </c>
      <c r="C89" s="47"/>
      <c r="D89" s="64">
        <f t="shared" ref="D89:P89" si="44">IFERROR(D68*D79,"")</f>
        <v>0</v>
      </c>
      <c r="E89" s="64">
        <f t="shared" si="44"/>
        <v>377.43699999999995</v>
      </c>
      <c r="F89" s="64">
        <f t="shared" si="44"/>
        <v>400.27193849999998</v>
      </c>
      <c r="G89" s="64">
        <f t="shared" si="44"/>
        <v>424.48839077924998</v>
      </c>
      <c r="H89" s="64">
        <f t="shared" si="44"/>
        <v>450.1699384213947</v>
      </c>
      <c r="I89" s="64">
        <f t="shared" si="44"/>
        <v>477.40521969588912</v>
      </c>
      <c r="J89" s="64">
        <f t="shared" si="44"/>
        <v>506.2882354874904</v>
      </c>
      <c r="K89" s="64">
        <f t="shared" si="44"/>
        <v>536.9186737344836</v>
      </c>
      <c r="L89" s="64">
        <f t="shared" si="44"/>
        <v>569.40225349541993</v>
      </c>
      <c r="M89" s="64">
        <f t="shared" si="44"/>
        <v>603.85108983189286</v>
      </c>
      <c r="N89" s="64">
        <f t="shared" si="44"/>
        <v>640.38408076672238</v>
      </c>
      <c r="O89" s="64">
        <f t="shared" si="44"/>
        <v>679.12731765310912</v>
      </c>
      <c r="P89" s="122">
        <f t="shared" si="44"/>
        <v>720.21452037112226</v>
      </c>
      <c r="Q89" s="50"/>
      <c r="R89" s="50"/>
      <c r="S89" s="50"/>
      <c r="T89" s="50"/>
      <c r="U89" s="50"/>
      <c r="V89" s="50"/>
      <c r="W89" s="50"/>
      <c r="X89" s="50"/>
      <c r="Y89" s="50"/>
      <c r="Z89" s="50"/>
    </row>
    <row r="90" spans="1:26" ht="15.75" customHeight="1" x14ac:dyDescent="0.35">
      <c r="A90" s="50"/>
      <c r="B90" s="53" t="s">
        <v>97</v>
      </c>
      <c r="C90" s="47"/>
      <c r="D90" s="64">
        <f t="shared" ref="D90:P90" si="45">IFERROR(D69*D80,"")</f>
        <v>230</v>
      </c>
      <c r="E90" s="64">
        <f t="shared" si="45"/>
        <v>243.91499999999999</v>
      </c>
      <c r="F90" s="64">
        <f t="shared" si="45"/>
        <v>258.67185749999999</v>
      </c>
      <c r="G90" s="64">
        <f t="shared" si="45"/>
        <v>274.32150487875003</v>
      </c>
      <c r="H90" s="64">
        <f t="shared" si="45"/>
        <v>290.91795592391441</v>
      </c>
      <c r="I90" s="64">
        <f t="shared" si="45"/>
        <v>308.51849225731121</v>
      </c>
      <c r="J90" s="64">
        <f t="shared" si="45"/>
        <v>327.1838610388786</v>
      </c>
      <c r="K90" s="64">
        <f t="shared" si="45"/>
        <v>346.97848463173079</v>
      </c>
      <c r="L90" s="64">
        <f t="shared" si="45"/>
        <v>367.97068295195049</v>
      </c>
      <c r="M90" s="64">
        <f t="shared" si="45"/>
        <v>390.23290927054359</v>
      </c>
      <c r="N90" s="64">
        <f t="shared" si="45"/>
        <v>413.8420002814114</v>
      </c>
      <c r="O90" s="64">
        <f t="shared" si="45"/>
        <v>438.87944129843686</v>
      </c>
      <c r="P90" s="122">
        <f t="shared" si="45"/>
        <v>465.4316474969923</v>
      </c>
      <c r="Q90" s="50"/>
      <c r="R90" s="50"/>
      <c r="S90" s="50"/>
      <c r="T90" s="50"/>
      <c r="U90" s="50"/>
      <c r="V90" s="50"/>
      <c r="W90" s="50"/>
      <c r="X90" s="50"/>
      <c r="Y90" s="50"/>
      <c r="Z90" s="50"/>
    </row>
    <row r="91" spans="1:26" ht="15.75" customHeight="1" x14ac:dyDescent="0.35">
      <c r="A91" s="50"/>
      <c r="B91" s="53" t="s">
        <v>98</v>
      </c>
      <c r="C91" s="47"/>
      <c r="D91" s="64">
        <f t="shared" ref="D91:P91" si="46">IFERROR(D70*D81,"")</f>
        <v>230</v>
      </c>
      <c r="E91" s="64">
        <f t="shared" si="46"/>
        <v>243.91499999999999</v>
      </c>
      <c r="F91" s="64">
        <f t="shared" si="46"/>
        <v>258.67185749999999</v>
      </c>
      <c r="G91" s="64">
        <f t="shared" si="46"/>
        <v>274.32150487875003</v>
      </c>
      <c r="H91" s="64">
        <f t="shared" si="46"/>
        <v>290.91795592391441</v>
      </c>
      <c r="I91" s="64">
        <f t="shared" si="46"/>
        <v>308.51849225731121</v>
      </c>
      <c r="J91" s="64">
        <f t="shared" si="46"/>
        <v>327.1838610388786</v>
      </c>
      <c r="K91" s="64">
        <f t="shared" si="46"/>
        <v>346.97848463173079</v>
      </c>
      <c r="L91" s="64">
        <f t="shared" si="46"/>
        <v>367.97068295195049</v>
      </c>
      <c r="M91" s="64">
        <f t="shared" si="46"/>
        <v>390.23290927054359</v>
      </c>
      <c r="N91" s="64">
        <f t="shared" si="46"/>
        <v>413.8420002814114</v>
      </c>
      <c r="O91" s="64">
        <f t="shared" si="46"/>
        <v>438.87944129843686</v>
      </c>
      <c r="P91" s="122">
        <f t="shared" si="46"/>
        <v>465.4316474969923</v>
      </c>
      <c r="Q91" s="50"/>
      <c r="R91" s="50"/>
      <c r="S91" s="50"/>
      <c r="T91" s="50"/>
      <c r="U91" s="50"/>
      <c r="V91" s="50"/>
      <c r="W91" s="50"/>
      <c r="X91" s="50"/>
      <c r="Y91" s="50"/>
      <c r="Z91" s="50"/>
    </row>
    <row r="92" spans="1:26" ht="15.75" customHeight="1" x14ac:dyDescent="0.35">
      <c r="A92" s="50"/>
      <c r="B92" s="53" t="s">
        <v>99</v>
      </c>
      <c r="C92" s="47"/>
      <c r="D92" s="64">
        <f t="shared" ref="D92:P92" si="47">IFERROR(D71*D82,"")</f>
        <v>0</v>
      </c>
      <c r="E92" s="64">
        <f t="shared" si="47"/>
        <v>0</v>
      </c>
      <c r="F92" s="64">
        <f t="shared" si="47"/>
        <v>239.33892230000001</v>
      </c>
      <c r="G92" s="64">
        <f t="shared" si="47"/>
        <v>253.81892709914999</v>
      </c>
      <c r="H92" s="64">
        <f t="shared" si="47"/>
        <v>269.17497218864855</v>
      </c>
      <c r="I92" s="64">
        <f t="shared" si="47"/>
        <v>285.46005800606179</v>
      </c>
      <c r="J92" s="64">
        <f t="shared" si="47"/>
        <v>302.73039151542855</v>
      </c>
      <c r="K92" s="64">
        <f t="shared" si="47"/>
        <v>321.04558020211198</v>
      </c>
      <c r="L92" s="64">
        <f t="shared" si="47"/>
        <v>340.46883780433978</v>
      </c>
      <c r="M92" s="64">
        <f t="shared" si="47"/>
        <v>361.06720249150237</v>
      </c>
      <c r="N92" s="64">
        <f t="shared" si="47"/>
        <v>382.91176824223828</v>
      </c>
      <c r="O92" s="64">
        <f t="shared" si="47"/>
        <v>406.07793022089373</v>
      </c>
      <c r="P92" s="122">
        <f t="shared" si="47"/>
        <v>430.6456449992578</v>
      </c>
      <c r="Q92" s="50"/>
      <c r="R92" s="50"/>
      <c r="S92" s="50"/>
      <c r="T92" s="50"/>
      <c r="U92" s="50"/>
      <c r="V92" s="50"/>
      <c r="W92" s="50"/>
      <c r="X92" s="50"/>
      <c r="Y92" s="50"/>
      <c r="Z92" s="50"/>
    </row>
    <row r="93" spans="1:26" ht="15.75" customHeight="1" x14ac:dyDescent="0.35">
      <c r="A93" s="50"/>
      <c r="B93" s="53" t="s">
        <v>100</v>
      </c>
      <c r="C93" s="47"/>
      <c r="D93" s="64">
        <f t="shared" ref="D93:P93" si="48">IFERROR(D72*D83,"")</f>
        <v>0</v>
      </c>
      <c r="E93" s="64">
        <f t="shared" si="48"/>
        <v>0</v>
      </c>
      <c r="F93" s="64">
        <f t="shared" si="48"/>
        <v>239.33892230000001</v>
      </c>
      <c r="G93" s="64">
        <f t="shared" si="48"/>
        <v>253.81892709914999</v>
      </c>
      <c r="H93" s="64">
        <f t="shared" si="48"/>
        <v>269.17497218864855</v>
      </c>
      <c r="I93" s="64">
        <f t="shared" si="48"/>
        <v>285.46005800606179</v>
      </c>
      <c r="J93" s="64">
        <f t="shared" si="48"/>
        <v>302.73039151542855</v>
      </c>
      <c r="K93" s="64">
        <f t="shared" si="48"/>
        <v>321.04558020211198</v>
      </c>
      <c r="L93" s="64">
        <f t="shared" si="48"/>
        <v>340.46883780433978</v>
      </c>
      <c r="M93" s="64">
        <f t="shared" si="48"/>
        <v>361.06720249150237</v>
      </c>
      <c r="N93" s="64">
        <f t="shared" si="48"/>
        <v>382.91176824223828</v>
      </c>
      <c r="O93" s="64">
        <f t="shared" si="48"/>
        <v>406.07793022089373</v>
      </c>
      <c r="P93" s="122">
        <f t="shared" si="48"/>
        <v>430.6456449992578</v>
      </c>
      <c r="Q93" s="50"/>
      <c r="R93" s="50"/>
      <c r="S93" s="50"/>
      <c r="T93" s="50"/>
      <c r="U93" s="50"/>
      <c r="V93" s="50"/>
      <c r="W93" s="50"/>
      <c r="X93" s="50"/>
      <c r="Y93" s="50"/>
      <c r="Z93" s="50"/>
    </row>
    <row r="94" spans="1:26" ht="15.75" customHeight="1" x14ac:dyDescent="0.35">
      <c r="A94" s="50"/>
      <c r="B94" s="53" t="s">
        <v>101</v>
      </c>
      <c r="C94" s="47"/>
      <c r="D94" s="64">
        <f t="shared" ref="D94:P94" si="49">IFERROR(D73*D84,"")</f>
        <v>0</v>
      </c>
      <c r="E94" s="64">
        <f t="shared" si="49"/>
        <v>0</v>
      </c>
      <c r="F94" s="64">
        <f t="shared" si="49"/>
        <v>239.33892230000001</v>
      </c>
      <c r="G94" s="64">
        <f t="shared" si="49"/>
        <v>253.81892709914999</v>
      </c>
      <c r="H94" s="64">
        <f t="shared" si="49"/>
        <v>269.17497218864855</v>
      </c>
      <c r="I94" s="64">
        <f t="shared" si="49"/>
        <v>285.46005800606179</v>
      </c>
      <c r="J94" s="64">
        <f t="shared" si="49"/>
        <v>302.73039151542855</v>
      </c>
      <c r="K94" s="64">
        <f t="shared" si="49"/>
        <v>321.04558020211198</v>
      </c>
      <c r="L94" s="64">
        <f t="shared" si="49"/>
        <v>340.46883780433978</v>
      </c>
      <c r="M94" s="64">
        <f t="shared" si="49"/>
        <v>361.06720249150237</v>
      </c>
      <c r="N94" s="64">
        <f t="shared" si="49"/>
        <v>382.91176824223828</v>
      </c>
      <c r="O94" s="64">
        <f t="shared" si="49"/>
        <v>406.07793022089373</v>
      </c>
      <c r="P94" s="122">
        <f t="shared" si="49"/>
        <v>430.6456449992578</v>
      </c>
      <c r="Q94" s="50"/>
      <c r="R94" s="50"/>
      <c r="S94" s="50"/>
      <c r="T94" s="50"/>
      <c r="U94" s="50"/>
      <c r="V94" s="50"/>
      <c r="W94" s="50"/>
      <c r="X94" s="50"/>
      <c r="Y94" s="50"/>
      <c r="Z94" s="50"/>
    </row>
    <row r="95" spans="1:26" ht="15.75" customHeight="1" x14ac:dyDescent="0.35">
      <c r="A95" s="50"/>
      <c r="B95" s="53" t="s">
        <v>102</v>
      </c>
      <c r="C95" s="47"/>
      <c r="D95" s="64">
        <f t="shared" ref="D95:P95" si="50">IFERROR(D74*D85,"")</f>
        <v>0</v>
      </c>
      <c r="E95" s="64">
        <f t="shared" si="50"/>
        <v>0</v>
      </c>
      <c r="F95" s="64">
        <f t="shared" si="50"/>
        <v>0</v>
      </c>
      <c r="G95" s="64">
        <f t="shared" si="50"/>
        <v>0</v>
      </c>
      <c r="H95" s="64">
        <f t="shared" si="50"/>
        <v>0</v>
      </c>
      <c r="I95" s="64">
        <f t="shared" si="50"/>
        <v>0</v>
      </c>
      <c r="J95" s="64">
        <f t="shared" si="50"/>
        <v>0</v>
      </c>
      <c r="K95" s="64">
        <f t="shared" si="50"/>
        <v>0</v>
      </c>
      <c r="L95" s="64">
        <f t="shared" si="50"/>
        <v>0</v>
      </c>
      <c r="M95" s="64">
        <f t="shared" si="50"/>
        <v>0</v>
      </c>
      <c r="N95" s="64">
        <f t="shared" si="50"/>
        <v>0</v>
      </c>
      <c r="O95" s="64">
        <f t="shared" si="50"/>
        <v>0</v>
      </c>
      <c r="P95" s="122">
        <f t="shared" si="50"/>
        <v>0</v>
      </c>
      <c r="Q95" s="50"/>
      <c r="R95" s="50"/>
      <c r="S95" s="50"/>
      <c r="T95" s="50"/>
      <c r="U95" s="50"/>
      <c r="V95" s="50"/>
      <c r="W95" s="50"/>
      <c r="X95" s="50"/>
      <c r="Y95" s="50"/>
      <c r="Z95" s="50"/>
    </row>
    <row r="96" spans="1:26" ht="15.75" customHeight="1" x14ac:dyDescent="0.35">
      <c r="A96" s="32"/>
      <c r="B96" s="58" t="s">
        <v>65</v>
      </c>
      <c r="C96" s="65"/>
      <c r="D96" s="129">
        <f t="shared" ref="D96:P96" si="51">SUM(D87:D95)</f>
        <v>770</v>
      </c>
      <c r="E96" s="129">
        <f t="shared" si="51"/>
        <v>1194.0219999999999</v>
      </c>
      <c r="F96" s="129">
        <f t="shared" si="51"/>
        <v>1984.2770978999997</v>
      </c>
      <c r="G96" s="129">
        <f t="shared" si="51"/>
        <v>2104.3258623229503</v>
      </c>
      <c r="H96" s="129">
        <f t="shared" si="51"/>
        <v>2231.6375769934884</v>
      </c>
      <c r="I96" s="129">
        <f t="shared" si="51"/>
        <v>2366.6516504015949</v>
      </c>
      <c r="J96" s="129">
        <f t="shared" si="51"/>
        <v>2509.8340752508911</v>
      </c>
      <c r="K96" s="129">
        <f t="shared" si="51"/>
        <v>2661.6790368035704</v>
      </c>
      <c r="L96" s="129">
        <f t="shared" si="51"/>
        <v>2822.7106185301864</v>
      </c>
      <c r="M96" s="129">
        <f t="shared" si="51"/>
        <v>2993.4846109512637</v>
      </c>
      <c r="N96" s="129">
        <f t="shared" si="51"/>
        <v>3174.5904299138147</v>
      </c>
      <c r="O96" s="129">
        <f t="shared" si="51"/>
        <v>3366.6531509236011</v>
      </c>
      <c r="P96" s="130">
        <f t="shared" si="51"/>
        <v>3570.3356665544788</v>
      </c>
      <c r="Q96" s="32"/>
      <c r="R96" s="32"/>
      <c r="S96" s="32"/>
      <c r="T96" s="32"/>
      <c r="U96" s="32"/>
      <c r="V96" s="32"/>
      <c r="W96" s="32"/>
      <c r="X96" s="32"/>
      <c r="Y96" s="32"/>
      <c r="Z96" s="32"/>
    </row>
    <row r="97" spans="1:26" ht="15.75" customHeight="1" x14ac:dyDescent="0.35">
      <c r="A97" s="50"/>
      <c r="B97" s="131" t="s">
        <v>137</v>
      </c>
      <c r="C97" s="132" t="s">
        <v>138</v>
      </c>
      <c r="D97" s="133">
        <f t="array" ref="D97">NPV($D$50,D96:P96)</f>
        <v>21642.97870553465</v>
      </c>
      <c r="E97" s="134"/>
      <c r="F97" s="135"/>
      <c r="G97" s="134"/>
      <c r="H97" s="134"/>
      <c r="I97" s="134"/>
      <c r="J97" s="134"/>
      <c r="K97" s="134"/>
      <c r="L97" s="134"/>
      <c r="M97" s="134"/>
      <c r="N97" s="134"/>
      <c r="O97" s="134"/>
      <c r="P97" s="136"/>
      <c r="Q97" s="50"/>
      <c r="R97" s="50"/>
      <c r="S97" s="50"/>
      <c r="T97" s="50"/>
      <c r="U97" s="50"/>
      <c r="V97" s="50"/>
      <c r="W97" s="50"/>
      <c r="X97" s="50"/>
      <c r="Y97" s="50"/>
      <c r="Z97" s="50"/>
    </row>
    <row r="98" spans="1:26" ht="15.75" customHeight="1" x14ac:dyDescent="0.3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35">
      <c r="A99" s="50"/>
      <c r="B99" s="137" t="s">
        <v>55</v>
      </c>
      <c r="C99" s="138"/>
      <c r="D99" s="566" t="s">
        <v>129</v>
      </c>
      <c r="E99" s="552"/>
      <c r="F99" s="553"/>
      <c r="G99" s="139" t="s">
        <v>130</v>
      </c>
      <c r="H99" s="138"/>
      <c r="I99" s="138"/>
      <c r="J99" s="138"/>
      <c r="K99" s="138"/>
      <c r="L99" s="138"/>
      <c r="M99" s="138"/>
      <c r="N99" s="138"/>
      <c r="O99" s="138"/>
      <c r="P99" s="140"/>
      <c r="Q99" s="50"/>
      <c r="R99" s="50"/>
      <c r="S99" s="50"/>
      <c r="T99" s="50"/>
      <c r="U99" s="50"/>
      <c r="V99" s="50"/>
      <c r="W99" s="50"/>
      <c r="X99" s="50"/>
      <c r="Y99" s="50"/>
      <c r="Z99" s="50"/>
    </row>
    <row r="100" spans="1:26" ht="15.75" customHeight="1" x14ac:dyDescent="0.35">
      <c r="A100" s="50"/>
      <c r="B100" s="141"/>
      <c r="C100" s="142"/>
      <c r="D100" s="210">
        <f>D53</f>
        <v>1</v>
      </c>
      <c r="E100" s="210">
        <f>+D100+1</f>
        <v>2</v>
      </c>
      <c r="F100" s="210">
        <f t="shared" ref="F100:P100" si="52">E100+1</f>
        <v>3</v>
      </c>
      <c r="G100" s="210">
        <f t="shared" si="52"/>
        <v>4</v>
      </c>
      <c r="H100" s="210">
        <f t="shared" si="52"/>
        <v>5</v>
      </c>
      <c r="I100" s="210">
        <f t="shared" si="52"/>
        <v>6</v>
      </c>
      <c r="J100" s="210">
        <f t="shared" si="52"/>
        <v>7</v>
      </c>
      <c r="K100" s="210">
        <f t="shared" si="52"/>
        <v>8</v>
      </c>
      <c r="L100" s="210">
        <f t="shared" si="52"/>
        <v>9</v>
      </c>
      <c r="M100" s="210">
        <f t="shared" si="52"/>
        <v>10</v>
      </c>
      <c r="N100" s="210">
        <f t="shared" si="52"/>
        <v>11</v>
      </c>
      <c r="O100" s="210">
        <f t="shared" si="52"/>
        <v>12</v>
      </c>
      <c r="P100" s="211">
        <f t="shared" si="52"/>
        <v>13</v>
      </c>
      <c r="Q100" s="50"/>
      <c r="R100" s="50"/>
      <c r="S100" s="50"/>
      <c r="T100" s="50"/>
      <c r="U100" s="50"/>
      <c r="V100" s="50"/>
      <c r="W100" s="50"/>
      <c r="X100" s="50"/>
      <c r="Y100" s="50"/>
      <c r="Z100" s="50"/>
    </row>
    <row r="101" spans="1:26" ht="15.75" customHeight="1" x14ac:dyDescent="0.35">
      <c r="A101" s="50"/>
      <c r="B101" s="46" t="s">
        <v>220</v>
      </c>
      <c r="C101" s="47"/>
      <c r="D101" s="49"/>
      <c r="E101" s="49"/>
      <c r="F101" s="49"/>
      <c r="G101" s="49"/>
      <c r="H101" s="49"/>
      <c r="I101" s="49"/>
      <c r="J101" s="49"/>
      <c r="K101" s="49"/>
      <c r="L101" s="49"/>
      <c r="M101" s="49"/>
      <c r="N101" s="50"/>
      <c r="O101" s="50"/>
      <c r="P101" s="115"/>
      <c r="Q101" s="50"/>
      <c r="R101" s="50"/>
      <c r="S101" s="50"/>
      <c r="T101" s="50"/>
      <c r="U101" s="50"/>
      <c r="V101" s="50"/>
      <c r="W101" s="50"/>
      <c r="X101" s="50"/>
      <c r="Y101" s="50"/>
      <c r="Z101" s="50"/>
    </row>
    <row r="102" spans="1:26" ht="15.75" customHeight="1" x14ac:dyDescent="0.35">
      <c r="A102" s="50"/>
      <c r="B102" s="53" t="s">
        <v>93</v>
      </c>
      <c r="C102" s="47" t="s">
        <v>109</v>
      </c>
      <c r="D102" s="145">
        <f t="shared" ref="D102:P102" si="53">IFERROR(D66/D55,"")</f>
        <v>0.01</v>
      </c>
      <c r="E102" s="145">
        <f t="shared" si="53"/>
        <v>1.0396039603960397E-2</v>
      </c>
      <c r="F102" s="145">
        <f t="shared" si="53"/>
        <v>1.0807763944711304E-2</v>
      </c>
      <c r="G102" s="145">
        <f t="shared" si="53"/>
        <v>1.1235794199947396E-2</v>
      </c>
      <c r="H102" s="145">
        <f t="shared" si="53"/>
        <v>1.1680776148460163E-2</v>
      </c>
      <c r="I102" s="145">
        <f t="shared" si="53"/>
        <v>1.2143381144438786E-2</v>
      </c>
      <c r="J102" s="145">
        <f t="shared" si="53"/>
        <v>1.2624307130357155E-2</v>
      </c>
      <c r="K102" s="145">
        <f t="shared" si="53"/>
        <v>1.3124279689975262E-2</v>
      </c>
      <c r="L102" s="145">
        <f t="shared" si="53"/>
        <v>1.3644053143043589E-2</v>
      </c>
      <c r="M102" s="145">
        <f t="shared" si="53"/>
        <v>1.4184411683362147E-2</v>
      </c>
      <c r="N102" s="145">
        <f t="shared" si="53"/>
        <v>1.4746170561911142E-2</v>
      </c>
      <c r="O102" s="145">
        <f t="shared" si="53"/>
        <v>1.5330177316838318E-2</v>
      </c>
      <c r="P102" s="146">
        <f t="shared" si="53"/>
        <v>1.5937313052158647E-2</v>
      </c>
      <c r="Q102" s="50"/>
      <c r="R102" s="50"/>
      <c r="S102" s="50"/>
      <c r="T102" s="50"/>
      <c r="U102" s="50"/>
      <c r="V102" s="50"/>
      <c r="W102" s="50"/>
      <c r="X102" s="50"/>
      <c r="Y102" s="50"/>
      <c r="Z102" s="50"/>
    </row>
    <row r="103" spans="1:26" ht="15.75" customHeight="1" x14ac:dyDescent="0.35">
      <c r="A103" s="50"/>
      <c r="B103" s="53" t="s">
        <v>95</v>
      </c>
      <c r="C103" s="47" t="s">
        <v>109</v>
      </c>
      <c r="D103" s="145">
        <f t="shared" ref="D103:P103" si="54">IFERROR(D67/D56,"")</f>
        <v>0.01</v>
      </c>
      <c r="E103" s="145">
        <f t="shared" si="54"/>
        <v>1.0396039603960397E-2</v>
      </c>
      <c r="F103" s="145">
        <f t="shared" si="54"/>
        <v>1.0807763944711304E-2</v>
      </c>
      <c r="G103" s="145">
        <f t="shared" si="54"/>
        <v>1.1235794199947396E-2</v>
      </c>
      <c r="H103" s="145">
        <f t="shared" si="54"/>
        <v>1.1680776148460163E-2</v>
      </c>
      <c r="I103" s="145">
        <f t="shared" si="54"/>
        <v>1.2143381144438786E-2</v>
      </c>
      <c r="J103" s="145">
        <f t="shared" si="54"/>
        <v>1.2624307130357155E-2</v>
      </c>
      <c r="K103" s="145">
        <f t="shared" si="54"/>
        <v>1.3124279689975262E-2</v>
      </c>
      <c r="L103" s="145">
        <f t="shared" si="54"/>
        <v>1.3644053143043589E-2</v>
      </c>
      <c r="M103" s="145">
        <f t="shared" si="54"/>
        <v>1.4184411683362147E-2</v>
      </c>
      <c r="N103" s="145">
        <f t="shared" si="54"/>
        <v>1.4746170561911142E-2</v>
      </c>
      <c r="O103" s="145">
        <f t="shared" si="54"/>
        <v>1.5330177316838318E-2</v>
      </c>
      <c r="P103" s="146">
        <f t="shared" si="54"/>
        <v>1.5937313052158647E-2</v>
      </c>
      <c r="Q103" s="50"/>
      <c r="R103" s="50"/>
      <c r="S103" s="50"/>
      <c r="T103" s="50"/>
      <c r="U103" s="50"/>
      <c r="V103" s="50"/>
      <c r="W103" s="50"/>
      <c r="X103" s="50"/>
      <c r="Y103" s="50"/>
      <c r="Z103" s="50"/>
    </row>
    <row r="104" spans="1:26" ht="15.75" customHeight="1" x14ac:dyDescent="0.35">
      <c r="A104" s="50"/>
      <c r="B104" s="53" t="s">
        <v>96</v>
      </c>
      <c r="C104" s="47" t="s">
        <v>109</v>
      </c>
      <c r="D104" s="145">
        <f t="shared" ref="D104:P104" si="55">IFERROR(D68/D57,"")</f>
        <v>0</v>
      </c>
      <c r="E104" s="145">
        <f t="shared" si="55"/>
        <v>0.01</v>
      </c>
      <c r="F104" s="145">
        <f t="shared" si="55"/>
        <v>1.0396039603960397E-2</v>
      </c>
      <c r="G104" s="145">
        <f t="shared" si="55"/>
        <v>1.0807763944711304E-2</v>
      </c>
      <c r="H104" s="145">
        <f t="shared" si="55"/>
        <v>1.1235794199947396E-2</v>
      </c>
      <c r="I104" s="145">
        <f t="shared" si="55"/>
        <v>1.1680776148460165E-2</v>
      </c>
      <c r="J104" s="145">
        <f t="shared" si="55"/>
        <v>1.2143381144438787E-2</v>
      </c>
      <c r="K104" s="145">
        <f t="shared" si="55"/>
        <v>1.2624307130357155E-2</v>
      </c>
      <c r="L104" s="145">
        <f t="shared" si="55"/>
        <v>1.3124279689975262E-2</v>
      </c>
      <c r="M104" s="145">
        <f t="shared" si="55"/>
        <v>1.3644053143043589E-2</v>
      </c>
      <c r="N104" s="145">
        <f t="shared" si="55"/>
        <v>1.4184411683362146E-2</v>
      </c>
      <c r="O104" s="145">
        <f t="shared" si="55"/>
        <v>1.4746170561911146E-2</v>
      </c>
      <c r="P104" s="146">
        <f t="shared" si="55"/>
        <v>1.5330177316838316E-2</v>
      </c>
      <c r="Q104" s="50"/>
      <c r="R104" s="50"/>
      <c r="S104" s="50"/>
      <c r="T104" s="50"/>
      <c r="U104" s="50"/>
      <c r="V104" s="50"/>
      <c r="W104" s="50"/>
      <c r="X104" s="50"/>
      <c r="Y104" s="50"/>
      <c r="Z104" s="50"/>
    </row>
    <row r="105" spans="1:26" ht="15.75" customHeight="1" x14ac:dyDescent="0.35">
      <c r="A105" s="50"/>
      <c r="B105" s="53" t="s">
        <v>97</v>
      </c>
      <c r="C105" s="47" t="s">
        <v>109</v>
      </c>
      <c r="D105" s="145">
        <f t="shared" ref="D105:P105" si="56">IFERROR(D69/D58,"")</f>
        <v>0.01</v>
      </c>
      <c r="E105" s="145">
        <f t="shared" si="56"/>
        <v>1.0396039603960397E-2</v>
      </c>
      <c r="F105" s="145">
        <f t="shared" si="56"/>
        <v>1.0807763944711304E-2</v>
      </c>
      <c r="G105" s="145">
        <f t="shared" si="56"/>
        <v>1.1235794199947396E-2</v>
      </c>
      <c r="H105" s="145">
        <f t="shared" si="56"/>
        <v>1.1680776148460163E-2</v>
      </c>
      <c r="I105" s="145">
        <f t="shared" si="56"/>
        <v>1.2143381144438786E-2</v>
      </c>
      <c r="J105" s="145">
        <f t="shared" si="56"/>
        <v>1.2624307130357155E-2</v>
      </c>
      <c r="K105" s="145">
        <f t="shared" si="56"/>
        <v>1.3124279689975262E-2</v>
      </c>
      <c r="L105" s="145">
        <f t="shared" si="56"/>
        <v>1.3644053143043589E-2</v>
      </c>
      <c r="M105" s="145">
        <f t="shared" si="56"/>
        <v>1.4184411683362147E-2</v>
      </c>
      <c r="N105" s="145">
        <f t="shared" si="56"/>
        <v>1.4746170561911142E-2</v>
      </c>
      <c r="O105" s="145">
        <f t="shared" si="56"/>
        <v>1.5330177316838318E-2</v>
      </c>
      <c r="P105" s="146">
        <f t="shared" si="56"/>
        <v>1.5937313052158647E-2</v>
      </c>
      <c r="Q105" s="50"/>
      <c r="R105" s="50"/>
      <c r="S105" s="50"/>
      <c r="T105" s="50"/>
      <c r="U105" s="50"/>
      <c r="V105" s="50"/>
      <c r="W105" s="50"/>
      <c r="X105" s="50"/>
      <c r="Y105" s="50"/>
      <c r="Z105" s="50"/>
    </row>
    <row r="106" spans="1:26" ht="15.75" customHeight="1" x14ac:dyDescent="0.35">
      <c r="A106" s="50"/>
      <c r="B106" s="53" t="s">
        <v>98</v>
      </c>
      <c r="C106" s="47" t="s">
        <v>109</v>
      </c>
      <c r="D106" s="145">
        <f t="shared" ref="D106:P106" si="57">IFERROR(D70/D59,"")</f>
        <v>0.01</v>
      </c>
      <c r="E106" s="145">
        <f t="shared" si="57"/>
        <v>1.0396039603960397E-2</v>
      </c>
      <c r="F106" s="145">
        <f t="shared" si="57"/>
        <v>1.0807763944711304E-2</v>
      </c>
      <c r="G106" s="145">
        <f t="shared" si="57"/>
        <v>1.1235794199947396E-2</v>
      </c>
      <c r="H106" s="145">
        <f t="shared" si="57"/>
        <v>1.1680776148460163E-2</v>
      </c>
      <c r="I106" s="145">
        <f t="shared" si="57"/>
        <v>1.2143381144438786E-2</v>
      </c>
      <c r="J106" s="145">
        <f t="shared" si="57"/>
        <v>1.2624307130357155E-2</v>
      </c>
      <c r="K106" s="145">
        <f t="shared" si="57"/>
        <v>1.3124279689975262E-2</v>
      </c>
      <c r="L106" s="145">
        <f t="shared" si="57"/>
        <v>1.3644053143043589E-2</v>
      </c>
      <c r="M106" s="145">
        <f t="shared" si="57"/>
        <v>1.4184411683362147E-2</v>
      </c>
      <c r="N106" s="145">
        <f t="shared" si="57"/>
        <v>1.4746170561911142E-2</v>
      </c>
      <c r="O106" s="145">
        <f t="shared" si="57"/>
        <v>1.5330177316838318E-2</v>
      </c>
      <c r="P106" s="146">
        <f t="shared" si="57"/>
        <v>1.5937313052158647E-2</v>
      </c>
      <c r="Q106" s="50"/>
      <c r="R106" s="50"/>
      <c r="S106" s="50"/>
      <c r="T106" s="50"/>
      <c r="U106" s="50"/>
      <c r="V106" s="50"/>
      <c r="W106" s="50"/>
      <c r="X106" s="50"/>
      <c r="Y106" s="50"/>
      <c r="Z106" s="50"/>
    </row>
    <row r="107" spans="1:26" ht="15.75" customHeight="1" x14ac:dyDescent="0.35">
      <c r="A107" s="50"/>
      <c r="B107" s="53" t="s">
        <v>99</v>
      </c>
      <c r="C107" s="47" t="s">
        <v>109</v>
      </c>
      <c r="D107" s="145">
        <f t="shared" ref="D107:P107" si="58">IFERROR(D71/D60,"")</f>
        <v>0</v>
      </c>
      <c r="E107" s="145">
        <f t="shared" si="58"/>
        <v>0</v>
      </c>
      <c r="F107" s="145">
        <f t="shared" si="58"/>
        <v>0.01</v>
      </c>
      <c r="G107" s="145">
        <f t="shared" si="58"/>
        <v>1.0396039603960397E-2</v>
      </c>
      <c r="H107" s="145">
        <f t="shared" si="58"/>
        <v>1.0807763944711302E-2</v>
      </c>
      <c r="I107" s="145">
        <f t="shared" si="58"/>
        <v>1.1235794199947396E-2</v>
      </c>
      <c r="J107" s="145">
        <f t="shared" si="58"/>
        <v>1.1680776148460165E-2</v>
      </c>
      <c r="K107" s="145">
        <f t="shared" si="58"/>
        <v>1.2143381144438786E-2</v>
      </c>
      <c r="L107" s="145">
        <f t="shared" si="58"/>
        <v>1.2624307130357153E-2</v>
      </c>
      <c r="M107" s="145">
        <f t="shared" si="58"/>
        <v>1.3124279689975258E-2</v>
      </c>
      <c r="N107" s="145">
        <f t="shared" si="58"/>
        <v>1.3644053143043585E-2</v>
      </c>
      <c r="O107" s="145">
        <f t="shared" si="58"/>
        <v>1.4184411683362144E-2</v>
      </c>
      <c r="P107" s="146">
        <f t="shared" si="58"/>
        <v>1.4746170561911139E-2</v>
      </c>
      <c r="Q107" s="50"/>
      <c r="R107" s="50"/>
      <c r="S107" s="50"/>
      <c r="T107" s="50"/>
      <c r="U107" s="50"/>
      <c r="V107" s="50"/>
      <c r="W107" s="50"/>
      <c r="X107" s="50"/>
      <c r="Y107" s="50"/>
      <c r="Z107" s="50"/>
    </row>
    <row r="108" spans="1:26" ht="15.75" customHeight="1" x14ac:dyDescent="0.35">
      <c r="A108" s="50"/>
      <c r="B108" s="53" t="s">
        <v>100</v>
      </c>
      <c r="C108" s="47" t="s">
        <v>109</v>
      </c>
      <c r="D108" s="145">
        <f t="shared" ref="D108:P108" si="59">IFERROR(D70/D59,"")</f>
        <v>0.01</v>
      </c>
      <c r="E108" s="145">
        <f t="shared" si="59"/>
        <v>1.0396039603960397E-2</v>
      </c>
      <c r="F108" s="145">
        <f t="shared" si="59"/>
        <v>1.0807763944711304E-2</v>
      </c>
      <c r="G108" s="145">
        <f t="shared" si="59"/>
        <v>1.1235794199947396E-2</v>
      </c>
      <c r="H108" s="145">
        <f t="shared" si="59"/>
        <v>1.1680776148460163E-2</v>
      </c>
      <c r="I108" s="145">
        <f t="shared" si="59"/>
        <v>1.2143381144438786E-2</v>
      </c>
      <c r="J108" s="145">
        <f t="shared" si="59"/>
        <v>1.2624307130357155E-2</v>
      </c>
      <c r="K108" s="145">
        <f t="shared" si="59"/>
        <v>1.3124279689975262E-2</v>
      </c>
      <c r="L108" s="145">
        <f t="shared" si="59"/>
        <v>1.3644053143043589E-2</v>
      </c>
      <c r="M108" s="145">
        <f t="shared" si="59"/>
        <v>1.4184411683362147E-2</v>
      </c>
      <c r="N108" s="145">
        <f t="shared" si="59"/>
        <v>1.4746170561911142E-2</v>
      </c>
      <c r="O108" s="145">
        <f t="shared" si="59"/>
        <v>1.5330177316838318E-2</v>
      </c>
      <c r="P108" s="146">
        <f t="shared" si="59"/>
        <v>1.5937313052158647E-2</v>
      </c>
      <c r="Q108" s="50"/>
      <c r="R108" s="50"/>
      <c r="S108" s="50"/>
      <c r="T108" s="50"/>
      <c r="U108" s="50"/>
      <c r="V108" s="50"/>
      <c r="W108" s="50"/>
      <c r="X108" s="50"/>
      <c r="Y108" s="50"/>
      <c r="Z108" s="50"/>
    </row>
    <row r="109" spans="1:26" ht="15.75" customHeight="1" x14ac:dyDescent="0.35">
      <c r="A109" s="50"/>
      <c r="B109" s="53" t="s">
        <v>101</v>
      </c>
      <c r="C109" s="47" t="s">
        <v>109</v>
      </c>
      <c r="D109" s="145">
        <f t="shared" ref="D109:P109" si="60">IFERROR(D71/D60,"")</f>
        <v>0</v>
      </c>
      <c r="E109" s="145">
        <f t="shared" si="60"/>
        <v>0</v>
      </c>
      <c r="F109" s="145">
        <f t="shared" si="60"/>
        <v>0.01</v>
      </c>
      <c r="G109" s="145">
        <f t="shared" si="60"/>
        <v>1.0396039603960397E-2</v>
      </c>
      <c r="H109" s="145">
        <f t="shared" si="60"/>
        <v>1.0807763944711302E-2</v>
      </c>
      <c r="I109" s="145">
        <f t="shared" si="60"/>
        <v>1.1235794199947396E-2</v>
      </c>
      <c r="J109" s="145">
        <f t="shared" si="60"/>
        <v>1.1680776148460165E-2</v>
      </c>
      <c r="K109" s="145">
        <f t="shared" si="60"/>
        <v>1.2143381144438786E-2</v>
      </c>
      <c r="L109" s="145">
        <f t="shared" si="60"/>
        <v>1.2624307130357153E-2</v>
      </c>
      <c r="M109" s="145">
        <f t="shared" si="60"/>
        <v>1.3124279689975258E-2</v>
      </c>
      <c r="N109" s="145">
        <f t="shared" si="60"/>
        <v>1.3644053143043585E-2</v>
      </c>
      <c r="O109" s="145">
        <f t="shared" si="60"/>
        <v>1.4184411683362144E-2</v>
      </c>
      <c r="P109" s="146">
        <f t="shared" si="60"/>
        <v>1.4746170561911139E-2</v>
      </c>
      <c r="Q109" s="50"/>
      <c r="R109" s="50"/>
      <c r="S109" s="50"/>
      <c r="T109" s="50"/>
      <c r="U109" s="50"/>
      <c r="V109" s="50"/>
      <c r="W109" s="50"/>
      <c r="X109" s="50"/>
      <c r="Y109" s="50"/>
      <c r="Z109" s="50"/>
    </row>
    <row r="110" spans="1:26" ht="15.75" customHeight="1" x14ac:dyDescent="0.35">
      <c r="A110" s="50"/>
      <c r="B110" s="53" t="s">
        <v>102</v>
      </c>
      <c r="C110" s="47" t="s">
        <v>109</v>
      </c>
      <c r="D110" s="145">
        <f t="shared" ref="D110:P110" si="61">IFERROR(D72/D61,"")</f>
        <v>0</v>
      </c>
      <c r="E110" s="145">
        <f t="shared" si="61"/>
        <v>0</v>
      </c>
      <c r="F110" s="145">
        <f t="shared" si="61"/>
        <v>0.01</v>
      </c>
      <c r="G110" s="145">
        <f t="shared" si="61"/>
        <v>1.0396039603960397E-2</v>
      </c>
      <c r="H110" s="145">
        <f t="shared" si="61"/>
        <v>1.0807763944711302E-2</v>
      </c>
      <c r="I110" s="145">
        <f t="shared" si="61"/>
        <v>1.1235794199947396E-2</v>
      </c>
      <c r="J110" s="145">
        <f t="shared" si="61"/>
        <v>1.1680776148460165E-2</v>
      </c>
      <c r="K110" s="145">
        <f t="shared" si="61"/>
        <v>1.2143381144438786E-2</v>
      </c>
      <c r="L110" s="145">
        <f t="shared" si="61"/>
        <v>1.2624307130357153E-2</v>
      </c>
      <c r="M110" s="145">
        <f t="shared" si="61"/>
        <v>1.3124279689975258E-2</v>
      </c>
      <c r="N110" s="145">
        <f t="shared" si="61"/>
        <v>1.3644053143043585E-2</v>
      </c>
      <c r="O110" s="145">
        <f t="shared" si="61"/>
        <v>1.4184411683362144E-2</v>
      </c>
      <c r="P110" s="146">
        <f t="shared" si="61"/>
        <v>1.4746170561911139E-2</v>
      </c>
      <c r="Q110" s="50"/>
      <c r="R110" s="50"/>
      <c r="S110" s="50"/>
      <c r="T110" s="50"/>
      <c r="U110" s="50"/>
      <c r="V110" s="50"/>
      <c r="W110" s="50"/>
      <c r="X110" s="50"/>
      <c r="Y110" s="50"/>
      <c r="Z110" s="50"/>
    </row>
    <row r="111" spans="1:26" ht="15.75" customHeight="1" x14ac:dyDescent="0.35">
      <c r="A111" s="50"/>
      <c r="B111" s="147" t="s">
        <v>140</v>
      </c>
      <c r="C111" s="148" t="s">
        <v>109</v>
      </c>
      <c r="D111" s="149">
        <f t="shared" ref="D111:P111" si="62">D75/D64</f>
        <v>4.4444444444444444E-3</v>
      </c>
      <c r="E111" s="149">
        <f t="shared" si="62"/>
        <v>5.7315731573157318E-3</v>
      </c>
      <c r="F111" s="149">
        <f t="shared" si="62"/>
        <v>9.2918994869783979E-3</v>
      </c>
      <c r="G111" s="149">
        <f t="shared" si="62"/>
        <v>9.6598955062646777E-3</v>
      </c>
      <c r="H111" s="149">
        <f t="shared" si="62"/>
        <v>1.0042465625324661E-2</v>
      </c>
      <c r="I111" s="149">
        <f t="shared" si="62"/>
        <v>1.044018703622861E-2</v>
      </c>
      <c r="J111" s="149">
        <f t="shared" si="62"/>
        <v>1.0853659790138656E-2</v>
      </c>
      <c r="K111" s="149">
        <f t="shared" si="62"/>
        <v>1.1283507702619393E-2</v>
      </c>
      <c r="L111" s="149">
        <f t="shared" si="62"/>
        <v>1.173037929480234E-2</v>
      </c>
      <c r="M111" s="149">
        <f t="shared" si="62"/>
        <v>1.2194948771824216E-2</v>
      </c>
      <c r="N111" s="149">
        <f t="shared" si="62"/>
        <v>1.2677917040015274E-2</v>
      </c>
      <c r="O111" s="149">
        <f t="shared" si="62"/>
        <v>1.3180012764372319E-2</v>
      </c>
      <c r="P111" s="150">
        <f t="shared" si="62"/>
        <v>1.3701993467911814E-2</v>
      </c>
      <c r="Q111" s="50"/>
      <c r="R111" s="50"/>
      <c r="S111" s="50"/>
      <c r="T111" s="50"/>
      <c r="U111" s="50"/>
      <c r="V111" s="50"/>
      <c r="W111" s="50"/>
      <c r="X111" s="50"/>
      <c r="Y111" s="50"/>
      <c r="Z111" s="50"/>
    </row>
    <row r="112" spans="1:26" ht="15.75" customHeight="1" x14ac:dyDescent="0.3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3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3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3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3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3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3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3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3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3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3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3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3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3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3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3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3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3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3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35">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35">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3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35">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35">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35">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3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35">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35">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35">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35">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3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3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3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35">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35">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3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35">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3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3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3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3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3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3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3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3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3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3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3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3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3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3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3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3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3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3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3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3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3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3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3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3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3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3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3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3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3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3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3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3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3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3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3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3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3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3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3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3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3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3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3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3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3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3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3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3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3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3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3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3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3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3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3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3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3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3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3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3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3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3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3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3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3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3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3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3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3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3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3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3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3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3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3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3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3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3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3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3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3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3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3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3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3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3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3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3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3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3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3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3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3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3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3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3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3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3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3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3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3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3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3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3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3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sheetData>
  <mergeCells count="10">
    <mergeCell ref="G32:L32"/>
    <mergeCell ref="D52:F52"/>
    <mergeCell ref="D99:F99"/>
    <mergeCell ref="B4:D4"/>
    <mergeCell ref="B5:D5"/>
    <mergeCell ref="B6:J6"/>
    <mergeCell ref="B7:D7"/>
    <mergeCell ref="B8:J8"/>
    <mergeCell ref="E11:J11"/>
    <mergeCell ref="G22:L22"/>
  </mergeCells>
  <dataValidations count="1">
    <dataValidation type="list" allowBlank="1" showErrorMessage="1" sqref="D44" xr:uid="{00000000-0002-0000-0800-000000000000}">
      <formula1>"High,Medium,Low"</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Project Overview</vt:lpstr>
      <vt:lpstr>Instructions</vt:lpstr>
      <vt:lpstr>Guidance</vt:lpstr>
      <vt:lpstr>Financial Benefit Summary</vt:lpstr>
      <vt:lpstr>1.Red. Purch. Cost Patient Care</vt:lpstr>
      <vt:lpstr>1.Red. Purch. Cost Surgical</vt:lpstr>
      <vt:lpstr>1.Red. Purch. Cost Vasc.</vt:lpstr>
      <vt:lpstr>OLD Purchase Cost Surgica</vt:lpstr>
      <vt:lpstr>Red. Purch. Cost Patient Care-N</vt:lpstr>
      <vt:lpstr>Red. Purch. Cost Surgical-New</vt:lpstr>
      <vt:lpstr>Red. Purch. Cost Vascular-New</vt:lpstr>
      <vt:lpstr>2.Red.Waste&amp;CreditPatient Care</vt:lpstr>
      <vt:lpstr>1.Red. Purchase Cost Vasc.</vt:lpstr>
      <vt:lpstr>2.Red.Waste&amp;Credit Surgical</vt:lpstr>
      <vt:lpstr>2.Red.Waste&amp;Credit Vascular</vt:lpstr>
      <vt:lpstr>3.Red.Emission Patient Care </vt:lpstr>
      <vt:lpstr>3.Red.Emission Surgical</vt:lpstr>
      <vt:lpstr>3.Red.Emission Vasc</vt:lpstr>
      <vt:lpstr>4. Supply Resiliency</vt:lpstr>
      <vt:lpstr>5. Ongoing Operating Costs</vt:lpstr>
      <vt:lpstr>Emission workings</vt:lpstr>
      <vt:lpstr>Links</vt:lpstr>
      <vt:lpstr>Patient Care items(onlyStryker)</vt:lpstr>
      <vt:lpstr>2022 (Stryker data)</vt:lpstr>
      <vt:lpstr>Stryker Data(19-21)</vt:lpstr>
      <vt:lpstr>Sheet1</vt:lpstr>
      <vt:lpstr>Patient Care items(all)</vt:lpstr>
      <vt:lpstr>Surgical items analysis</vt:lpstr>
      <vt:lpstr>Vasc. Items analysis</vt:lpstr>
      <vt:lpstr>Total Devices spend and share</vt:lpstr>
      <vt:lpstr>Total S&amp;Vdevices</vt:lpstr>
      <vt:lpstr>Data from PGH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Divya Chandra</dc:creator>
  <cp:lastModifiedBy>Divya Chandra</cp:lastModifiedBy>
  <dcterms:created xsi:type="dcterms:W3CDTF">2023-04-10T10:42:17Z</dcterms:created>
  <dcterms:modified xsi:type="dcterms:W3CDTF">2024-02-29T18:44:49Z</dcterms:modified>
</cp:coreProperties>
</file>