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70a569660a0cbb2e/NYU CSB Personal Drive/Sustainable Fashion/05. Framework/"/>
    </mc:Choice>
  </mc:AlternateContent>
  <xr:revisionPtr revIDLastSave="1" documentId="8_{A2979037-36A3-42FF-BF8C-A750866302F6}" xr6:coauthVersionLast="45" xr6:coauthVersionMax="45" xr10:uidLastSave="{A7707CF1-F3F1-4E2D-B978-896126D446AC}"/>
  <bookViews>
    <workbookView xWindow="28680" yWindow="-120" windowWidth="29040" windowHeight="15840" xr2:uid="{B3E706FC-307B-43C4-9C2A-9815B9CDA707}"/>
  </bookViews>
  <sheets>
    <sheet name=" Cover Page" sheetId="3" r:id="rId1"/>
    <sheet name="ROSI Framework" sheetId="43" r:id="rId2"/>
    <sheet name="1. Profit from resale programs" sheetId="18" r:id="rId3"/>
    <sheet name="2.Supply disruption (take-back)" sheetId="34" r:id="rId4"/>
    <sheet name="3. New purchase sales (resale)" sheetId="20" r:id="rId5"/>
    <sheet name="4. Lower cust acq cost (resale)" sheetId="22" r:id="rId6"/>
    <sheet name="5. Unpaid earned media (resale)" sheetId="21" r:id="rId7"/>
    <sheet name="6.New purchase sales(take-back)" sheetId="23" r:id="rId8"/>
    <sheet name="7. Physical vs. digital samples" sheetId="32" r:id="rId9"/>
    <sheet name="8. Profit from rental program" sheetId="41" r:id="rId10"/>
    <sheet name="9. Profit from repair and ref." sheetId="42" r:id="rId11"/>
    <sheet name="10. New purchase sales (rental)" sheetId="25" r:id="rId12"/>
    <sheet name="11.New purchase sales (rep,ref)" sheetId="24" r:id="rId13"/>
    <sheet name="12. Invest in impr e-commerce" sheetId="26" r:id="rId14"/>
    <sheet name="CBM Example (4)" sheetId="6"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3" l="1"/>
  <c r="B29" i="3" s="1"/>
  <c r="B30" i="3" s="1"/>
  <c r="B31" i="3" s="1"/>
  <c r="B32" i="3" s="1"/>
  <c r="B33" i="3" s="1"/>
  <c r="B34" i="3" s="1"/>
  <c r="B35" i="3" s="1"/>
  <c r="B36" i="3" s="1"/>
  <c r="B37" i="3" s="1"/>
  <c r="B27" i="3"/>
  <c r="E40" i="42" l="1"/>
  <c r="D40" i="42"/>
  <c r="C40" i="42"/>
  <c r="E39" i="42"/>
  <c r="D39" i="42"/>
  <c r="C39" i="42"/>
  <c r="E38" i="42"/>
  <c r="D38" i="42"/>
  <c r="C38" i="42"/>
  <c r="C41" i="42" s="1"/>
  <c r="C42" i="42" s="1"/>
  <c r="E37" i="42"/>
  <c r="D37" i="42"/>
  <c r="C37" i="42"/>
  <c r="H36" i="42"/>
  <c r="G36" i="42"/>
  <c r="F36" i="42"/>
  <c r="E36" i="42"/>
  <c r="D36" i="42"/>
  <c r="C36" i="42"/>
  <c r="E32" i="42"/>
  <c r="D32" i="42"/>
  <c r="C32" i="42"/>
  <c r="E31" i="42"/>
  <c r="D31" i="42"/>
  <c r="D33" i="42" s="1"/>
  <c r="C31" i="42"/>
  <c r="F21" i="42"/>
  <c r="F40" i="42" s="1"/>
  <c r="F20" i="42"/>
  <c r="F39" i="42" s="1"/>
  <c r="F19" i="42"/>
  <c r="G19" i="42" s="1"/>
  <c r="H19" i="42" s="1"/>
  <c r="H38" i="42" s="1"/>
  <c r="F18" i="42"/>
  <c r="F37" i="42" s="1"/>
  <c r="F13" i="42"/>
  <c r="G13" i="42" s="1"/>
  <c r="G32" i="42" s="1"/>
  <c r="F12" i="42"/>
  <c r="F31" i="42" s="1"/>
  <c r="E46" i="41"/>
  <c r="D46" i="41"/>
  <c r="C46" i="41"/>
  <c r="E45" i="41"/>
  <c r="D45" i="41"/>
  <c r="C45" i="41"/>
  <c r="E44" i="41"/>
  <c r="D44" i="41"/>
  <c r="C44" i="41"/>
  <c r="E43" i="41"/>
  <c r="D43" i="41"/>
  <c r="C43" i="41"/>
  <c r="E42" i="41"/>
  <c r="D42" i="41"/>
  <c r="C42" i="41"/>
  <c r="E41" i="41"/>
  <c r="D41" i="41"/>
  <c r="C41" i="41"/>
  <c r="E40" i="41"/>
  <c r="D40" i="41"/>
  <c r="C40" i="41"/>
  <c r="H39" i="41"/>
  <c r="G39" i="41"/>
  <c r="F39" i="41"/>
  <c r="E39" i="41"/>
  <c r="D39" i="41"/>
  <c r="C39" i="41"/>
  <c r="E35" i="41"/>
  <c r="D35" i="41"/>
  <c r="C35" i="41"/>
  <c r="E34" i="41"/>
  <c r="D34" i="41"/>
  <c r="C34" i="41"/>
  <c r="B34" i="41"/>
  <c r="F24" i="41"/>
  <c r="G24" i="41" s="1"/>
  <c r="F23" i="41"/>
  <c r="G23" i="41" s="1"/>
  <c r="F22" i="41"/>
  <c r="F44" i="41" s="1"/>
  <c r="F21" i="41"/>
  <c r="F43" i="41" s="1"/>
  <c r="F20" i="41"/>
  <c r="G20" i="41" s="1"/>
  <c r="G42" i="41" s="1"/>
  <c r="F19" i="41"/>
  <c r="G19" i="41" s="1"/>
  <c r="F18" i="41"/>
  <c r="G18" i="41" s="1"/>
  <c r="F13" i="41"/>
  <c r="G13" i="41" s="1"/>
  <c r="F12" i="41"/>
  <c r="F34" i="41" s="1"/>
  <c r="E33" i="42" l="1"/>
  <c r="F38" i="42"/>
  <c r="F41" i="42" s="1"/>
  <c r="F42" i="42" s="1"/>
  <c r="C33" i="42"/>
  <c r="C43" i="42" s="1"/>
  <c r="C46" i="42" s="1"/>
  <c r="G18" i="42"/>
  <c r="G37" i="42" s="1"/>
  <c r="F32" i="42"/>
  <c r="F33" i="42" s="1"/>
  <c r="D41" i="42"/>
  <c r="D42" i="42" s="1"/>
  <c r="E41" i="42"/>
  <c r="E42" i="42" s="1"/>
  <c r="E43" i="42" s="1"/>
  <c r="E46" i="42" s="1"/>
  <c r="G20" i="42"/>
  <c r="H13" i="42"/>
  <c r="H32" i="42" s="1"/>
  <c r="G21" i="42"/>
  <c r="G38" i="42"/>
  <c r="G12" i="42"/>
  <c r="D36" i="41"/>
  <c r="C47" i="41"/>
  <c r="C48" i="41" s="1"/>
  <c r="F42" i="41"/>
  <c r="G35" i="41"/>
  <c r="H13" i="41"/>
  <c r="H35" i="41" s="1"/>
  <c r="G22" i="41"/>
  <c r="E47" i="41"/>
  <c r="E48" i="41" s="1"/>
  <c r="E36" i="41"/>
  <c r="F41" i="41"/>
  <c r="F46" i="41"/>
  <c r="C36" i="41"/>
  <c r="F35" i="41"/>
  <c r="F36" i="41" s="1"/>
  <c r="D47" i="41"/>
  <c r="G46" i="41"/>
  <c r="H24" i="41"/>
  <c r="H46" i="41" s="1"/>
  <c r="H18" i="41"/>
  <c r="H40" i="41" s="1"/>
  <c r="G40" i="41"/>
  <c r="H23" i="41"/>
  <c r="H45" i="41" s="1"/>
  <c r="G45" i="41"/>
  <c r="H19" i="41"/>
  <c r="H41" i="41" s="1"/>
  <c r="G41" i="41"/>
  <c r="G21" i="41"/>
  <c r="F40" i="41"/>
  <c r="F45" i="41"/>
  <c r="G12" i="41"/>
  <c r="H20" i="41"/>
  <c r="H42" i="41" s="1"/>
  <c r="H18" i="42" l="1"/>
  <c r="H37" i="42" s="1"/>
  <c r="D43" i="42"/>
  <c r="D46" i="42" s="1"/>
  <c r="H20" i="42"/>
  <c r="H39" i="42" s="1"/>
  <c r="G39" i="42"/>
  <c r="F43" i="42"/>
  <c r="F46" i="42" s="1"/>
  <c r="G40" i="42"/>
  <c r="G41" i="42" s="1"/>
  <c r="G42" i="42" s="1"/>
  <c r="H21" i="42"/>
  <c r="H40" i="42" s="1"/>
  <c r="G31" i="42"/>
  <c r="G33" i="42" s="1"/>
  <c r="H12" i="42"/>
  <c r="H31" i="42" s="1"/>
  <c r="H33" i="42" s="1"/>
  <c r="D48" i="41"/>
  <c r="D49" i="41" s="1"/>
  <c r="D52" i="41" s="1"/>
  <c r="C49" i="41"/>
  <c r="C52" i="41" s="1"/>
  <c r="E49" i="41"/>
  <c r="E52" i="41" s="1"/>
  <c r="F47" i="41"/>
  <c r="G44" i="41"/>
  <c r="H22" i="41"/>
  <c r="H44" i="41" s="1"/>
  <c r="G43" i="41"/>
  <c r="H21" i="41"/>
  <c r="H43" i="41" s="1"/>
  <c r="G34" i="41"/>
  <c r="H12" i="41"/>
  <c r="H34" i="41" s="1"/>
  <c r="H36" i="41" s="1"/>
  <c r="E27" i="32"/>
  <c r="E52" i="32" s="1"/>
  <c r="D27" i="32"/>
  <c r="D52" i="32" s="1"/>
  <c r="C27" i="32"/>
  <c r="C52" i="32" s="1"/>
  <c r="E37" i="34"/>
  <c r="E38" i="34" s="1"/>
  <c r="E36" i="34"/>
  <c r="D36" i="34"/>
  <c r="C36" i="34"/>
  <c r="E35" i="34"/>
  <c r="D35" i="34"/>
  <c r="D37" i="34" s="1"/>
  <c r="D38" i="34" s="1"/>
  <c r="C35" i="34"/>
  <c r="E34" i="34"/>
  <c r="D34" i="34"/>
  <c r="C34" i="34"/>
  <c r="H33" i="34"/>
  <c r="G33" i="34"/>
  <c r="F33" i="34"/>
  <c r="E33" i="34"/>
  <c r="D33" i="34"/>
  <c r="C33" i="34"/>
  <c r="C37" i="34" s="1"/>
  <c r="C38" i="34" s="1"/>
  <c r="E29" i="34"/>
  <c r="D29" i="34"/>
  <c r="C29" i="34"/>
  <c r="E28" i="34"/>
  <c r="D28" i="34"/>
  <c r="C28" i="34"/>
  <c r="D27" i="34"/>
  <c r="E27" i="34"/>
  <c r="E30" i="34" s="1"/>
  <c r="C27" i="34"/>
  <c r="F19" i="34"/>
  <c r="G19" i="34" s="1"/>
  <c r="G34" i="34" s="1"/>
  <c r="F18" i="34"/>
  <c r="G18" i="34" s="1"/>
  <c r="G27" i="34" s="1"/>
  <c r="F15" i="34"/>
  <c r="G15" i="34" s="1"/>
  <c r="H15" i="34" s="1"/>
  <c r="H29" i="34" s="1"/>
  <c r="F14" i="34"/>
  <c r="G14" i="34" s="1"/>
  <c r="G28" i="34" s="1"/>
  <c r="H63" i="32"/>
  <c r="G63" i="32"/>
  <c r="F63" i="32"/>
  <c r="E63" i="32"/>
  <c r="D63" i="32"/>
  <c r="C63" i="32"/>
  <c r="H50" i="32"/>
  <c r="G50" i="32"/>
  <c r="F50" i="32"/>
  <c r="E50" i="32"/>
  <c r="D50" i="32"/>
  <c r="C50" i="32"/>
  <c r="C59" i="32" s="1"/>
  <c r="E58" i="32"/>
  <c r="D58" i="32"/>
  <c r="C58" i="32"/>
  <c r="E57" i="32"/>
  <c r="D57" i="32"/>
  <c r="C57" i="32"/>
  <c r="E56" i="32"/>
  <c r="D56" i="32"/>
  <c r="C56" i="32"/>
  <c r="E55" i="32"/>
  <c r="D55" i="32"/>
  <c r="C55" i="32"/>
  <c r="E54" i="32"/>
  <c r="D54" i="32"/>
  <c r="C54" i="32"/>
  <c r="F28" i="32"/>
  <c r="G28" i="32" s="1"/>
  <c r="H28" i="32" s="1"/>
  <c r="F32" i="32"/>
  <c r="E15" i="32"/>
  <c r="E34" i="32" s="1"/>
  <c r="E65" i="32" s="1"/>
  <c r="D15" i="32"/>
  <c r="D34" i="32" s="1"/>
  <c r="D65" i="32" s="1"/>
  <c r="C15" i="32"/>
  <c r="C34" i="32" s="1"/>
  <c r="F31" i="32"/>
  <c r="G31" i="32" s="1"/>
  <c r="H31" i="32" s="1"/>
  <c r="F30" i="32"/>
  <c r="G30" i="32" s="1"/>
  <c r="H30" i="32" s="1"/>
  <c r="F29" i="32"/>
  <c r="G29" i="32" s="1"/>
  <c r="H29" i="32" s="1"/>
  <c r="F24" i="32"/>
  <c r="G24" i="32" s="1"/>
  <c r="H24" i="32" s="1"/>
  <c r="F12" i="32"/>
  <c r="E59" i="32" l="1"/>
  <c r="E60" i="32" s="1"/>
  <c r="F27" i="32"/>
  <c r="F52" i="32" s="1"/>
  <c r="G54" i="32"/>
  <c r="D59" i="32"/>
  <c r="D60" i="32" s="1"/>
  <c r="C30" i="34"/>
  <c r="C31" i="34" s="1"/>
  <c r="F36" i="34"/>
  <c r="F34" i="34"/>
  <c r="G36" i="34"/>
  <c r="H41" i="42"/>
  <c r="G43" i="42"/>
  <c r="G46" i="42" s="1"/>
  <c r="F48" i="41"/>
  <c r="F49" i="41" s="1"/>
  <c r="F52" i="41" s="1"/>
  <c r="H47" i="41"/>
  <c r="G47" i="41"/>
  <c r="G48" i="41" s="1"/>
  <c r="G36" i="41"/>
  <c r="C65" i="32"/>
  <c r="C35" i="32"/>
  <c r="D35" i="32"/>
  <c r="E35" i="32"/>
  <c r="H36" i="34"/>
  <c r="D30" i="34"/>
  <c r="D31" i="34" s="1"/>
  <c r="F35" i="34"/>
  <c r="F37" i="34" s="1"/>
  <c r="F38" i="34" s="1"/>
  <c r="G35" i="34"/>
  <c r="G37" i="34" s="1"/>
  <c r="G38" i="34" s="1"/>
  <c r="G29" i="34"/>
  <c r="G30" i="34" s="1"/>
  <c r="G31" i="34" s="1"/>
  <c r="F28" i="34"/>
  <c r="F29" i="34"/>
  <c r="E31" i="34"/>
  <c r="E39" i="34" s="1"/>
  <c r="E42" i="34" s="1"/>
  <c r="F27" i="34"/>
  <c r="H14" i="34"/>
  <c r="H19" i="34"/>
  <c r="H34" i="34" s="1"/>
  <c r="H18" i="34"/>
  <c r="H27" i="34" s="1"/>
  <c r="H54" i="32"/>
  <c r="F55" i="32"/>
  <c r="F57" i="32"/>
  <c r="G57" i="32"/>
  <c r="F56" i="32"/>
  <c r="H57" i="32"/>
  <c r="H56" i="32"/>
  <c r="G55" i="32"/>
  <c r="G56" i="32"/>
  <c r="F54" i="32"/>
  <c r="H55" i="32"/>
  <c r="F58" i="32"/>
  <c r="F59" i="32" s="1"/>
  <c r="F15" i="32"/>
  <c r="F34" i="32" s="1"/>
  <c r="F65" i="32" s="1"/>
  <c r="G32" i="32"/>
  <c r="G12" i="32"/>
  <c r="G27" i="32" s="1"/>
  <c r="G52" i="32" s="1"/>
  <c r="C60" i="32"/>
  <c r="F35" i="32" l="1"/>
  <c r="F36" i="32" s="1"/>
  <c r="F37" i="32" s="1"/>
  <c r="F38" i="32" s="1"/>
  <c r="F39" i="32" s="1"/>
  <c r="F71" i="32" s="1"/>
  <c r="H42" i="42"/>
  <c r="H43" i="42" s="1"/>
  <c r="H46" i="42" s="1"/>
  <c r="C47" i="42" s="1"/>
  <c r="H49" i="41"/>
  <c r="H52" i="41" s="1"/>
  <c r="H48" i="41"/>
  <c r="G49" i="41"/>
  <c r="G52" i="41" s="1"/>
  <c r="G59" i="32"/>
  <c r="E36" i="32"/>
  <c r="E67" i="32"/>
  <c r="D36" i="32"/>
  <c r="D67" i="32"/>
  <c r="C67" i="32"/>
  <c r="C36" i="32"/>
  <c r="F60" i="32"/>
  <c r="H28" i="34"/>
  <c r="H35" i="34"/>
  <c r="H37" i="34" s="1"/>
  <c r="H38" i="34" s="1"/>
  <c r="F30" i="34"/>
  <c r="F31" i="34" s="1"/>
  <c r="H30" i="34"/>
  <c r="H31" i="34" s="1"/>
  <c r="D39" i="34"/>
  <c r="D42" i="34" s="1"/>
  <c r="C39" i="34"/>
  <c r="C42" i="34" s="1"/>
  <c r="G39" i="34"/>
  <c r="G42" i="34" s="1"/>
  <c r="G58" i="32"/>
  <c r="H12" i="32"/>
  <c r="H27" i="32" s="1"/>
  <c r="H52" i="32" s="1"/>
  <c r="G15" i="32"/>
  <c r="G34" i="32" s="1"/>
  <c r="H32" i="32"/>
  <c r="H58" i="32" s="1"/>
  <c r="F67" i="32" l="1"/>
  <c r="F70" i="32"/>
  <c r="F69" i="32"/>
  <c r="F68" i="32"/>
  <c r="F42" i="34"/>
  <c r="F39" i="34"/>
  <c r="C53" i="41"/>
  <c r="E68" i="32"/>
  <c r="E37" i="32"/>
  <c r="D68" i="32"/>
  <c r="D37" i="32"/>
  <c r="G65" i="32"/>
  <c r="G35" i="32"/>
  <c r="H59" i="32"/>
  <c r="C37" i="32"/>
  <c r="C68" i="32"/>
  <c r="H39" i="34"/>
  <c r="H42" i="34" s="1"/>
  <c r="C43" i="34" s="1"/>
  <c r="H15" i="32"/>
  <c r="H34" i="32" s="1"/>
  <c r="G60" i="32"/>
  <c r="F72" i="32" l="1"/>
  <c r="F73" i="32" s="1"/>
  <c r="F74" i="32" s="1"/>
  <c r="F77" i="32" s="1"/>
  <c r="D69" i="32"/>
  <c r="D38" i="32"/>
  <c r="H65" i="32"/>
  <c r="H35" i="32"/>
  <c r="G36" i="32"/>
  <c r="G67" i="32"/>
  <c r="E38" i="32"/>
  <c r="E69" i="32"/>
  <c r="C38" i="32"/>
  <c r="C69" i="32"/>
  <c r="H60" i="32"/>
  <c r="D39" i="32" l="1"/>
  <c r="D71" i="32" s="1"/>
  <c r="D70" i="32"/>
  <c r="C70" i="32"/>
  <c r="C39" i="32"/>
  <c r="C71" i="32" s="1"/>
  <c r="E39" i="32"/>
  <c r="E71" i="32" s="1"/>
  <c r="E70" i="32"/>
  <c r="E72" i="32" s="1"/>
  <c r="E73" i="32" s="1"/>
  <c r="E74" i="32" s="1"/>
  <c r="E77" i="32" s="1"/>
  <c r="G37" i="32"/>
  <c r="G68" i="32"/>
  <c r="H36" i="32"/>
  <c r="H67" i="32"/>
  <c r="C72" i="32" l="1"/>
  <c r="C73" i="32" s="1"/>
  <c r="C74" i="32" s="1"/>
  <c r="C77" i="32" s="1"/>
  <c r="G38" i="32"/>
  <c r="G69" i="32"/>
  <c r="D72" i="32"/>
  <c r="D73" i="32" s="1"/>
  <c r="D74" i="32" s="1"/>
  <c r="D77" i="32" s="1"/>
  <c r="H37" i="32"/>
  <c r="H68" i="32"/>
  <c r="H42" i="18"/>
  <c r="G42" i="18"/>
  <c r="F42" i="18"/>
  <c r="E42" i="18"/>
  <c r="D42" i="18"/>
  <c r="C42" i="18"/>
  <c r="F24" i="18"/>
  <c r="G24" i="18" s="1"/>
  <c r="H24" i="18" s="1"/>
  <c r="C40" i="26"/>
  <c r="H39" i="26"/>
  <c r="H40" i="26" s="1"/>
  <c r="G39" i="26"/>
  <c r="G40" i="26" s="1"/>
  <c r="E39" i="26"/>
  <c r="E40" i="26" s="1"/>
  <c r="D39" i="26"/>
  <c r="D40" i="26" s="1"/>
  <c r="C39" i="26"/>
  <c r="F19" i="26"/>
  <c r="G19" i="26" s="1"/>
  <c r="H19" i="26" s="1"/>
  <c r="H35" i="18"/>
  <c r="G35" i="18"/>
  <c r="F35" i="18"/>
  <c r="E35" i="18"/>
  <c r="D35" i="18"/>
  <c r="C35" i="18"/>
  <c r="F13" i="18"/>
  <c r="G13" i="18" s="1"/>
  <c r="H13" i="18" s="1"/>
  <c r="H43" i="18"/>
  <c r="G43" i="18"/>
  <c r="F43" i="18"/>
  <c r="E43" i="18"/>
  <c r="D43" i="18"/>
  <c r="C43" i="18"/>
  <c r="F25" i="18"/>
  <c r="G25" i="18" s="1"/>
  <c r="H25" i="18" s="1"/>
  <c r="G39" i="32" l="1"/>
  <c r="G71" i="32" s="1"/>
  <c r="G70" i="32"/>
  <c r="G72" i="32" s="1"/>
  <c r="G73" i="32" s="1"/>
  <c r="G74" i="32" s="1"/>
  <c r="G77" i="32" s="1"/>
  <c r="H38" i="32"/>
  <c r="H69" i="32"/>
  <c r="F39" i="26"/>
  <c r="F40" i="26" s="1"/>
  <c r="D41" i="26"/>
  <c r="D42" i="26" s="1"/>
  <c r="E41" i="26"/>
  <c r="E42" i="26" s="1"/>
  <c r="E38" i="26"/>
  <c r="D38" i="26"/>
  <c r="C38" i="26"/>
  <c r="E37" i="26"/>
  <c r="D37" i="26"/>
  <c r="C37" i="26"/>
  <c r="E32" i="26"/>
  <c r="D32" i="26"/>
  <c r="C32" i="26"/>
  <c r="E31" i="26"/>
  <c r="D31" i="26"/>
  <c r="C31" i="26"/>
  <c r="F23" i="26"/>
  <c r="G23" i="26" s="1"/>
  <c r="H23" i="26" s="1"/>
  <c r="H37" i="26" s="1"/>
  <c r="F22" i="26"/>
  <c r="G22" i="26" s="1"/>
  <c r="H22" i="26" s="1"/>
  <c r="H31" i="26" s="1"/>
  <c r="F14" i="26"/>
  <c r="G14" i="26" s="1"/>
  <c r="H14" i="26" s="1"/>
  <c r="F15" i="26"/>
  <c r="G15" i="26" s="1"/>
  <c r="H15" i="26" s="1"/>
  <c r="F16" i="26"/>
  <c r="G16" i="26" s="1"/>
  <c r="H16" i="26" s="1"/>
  <c r="F17" i="26"/>
  <c r="G17" i="26" s="1"/>
  <c r="H17" i="26" s="1"/>
  <c r="H36" i="26"/>
  <c r="G36" i="26"/>
  <c r="F36" i="26"/>
  <c r="E36" i="26"/>
  <c r="D36" i="26"/>
  <c r="C36" i="26"/>
  <c r="H39" i="32" l="1"/>
  <c r="H71" i="32" s="1"/>
  <c r="H70" i="32"/>
  <c r="C41" i="26"/>
  <c r="C42" i="26" s="1"/>
  <c r="H38" i="26"/>
  <c r="H41" i="26" s="1"/>
  <c r="G38" i="26"/>
  <c r="F37" i="26"/>
  <c r="F38" i="26"/>
  <c r="F41" i="26" s="1"/>
  <c r="G37" i="26"/>
  <c r="H32" i="26"/>
  <c r="H33" i="26" s="1"/>
  <c r="H34" i="26" s="1"/>
  <c r="F32" i="26"/>
  <c r="C33" i="26"/>
  <c r="C34" i="26" s="1"/>
  <c r="D33" i="26"/>
  <c r="D34" i="26" s="1"/>
  <c r="E33" i="26"/>
  <c r="E34" i="26" s="1"/>
  <c r="G32" i="26"/>
  <c r="F31" i="26"/>
  <c r="G31" i="26"/>
  <c r="E32" i="25"/>
  <c r="D32" i="25"/>
  <c r="C32" i="25"/>
  <c r="E30" i="25"/>
  <c r="D30" i="25"/>
  <c r="C30" i="25"/>
  <c r="E29" i="25"/>
  <c r="D29" i="25"/>
  <c r="C29" i="25"/>
  <c r="E25" i="25"/>
  <c r="D25" i="25"/>
  <c r="C25" i="25"/>
  <c r="E24" i="25"/>
  <c r="D24" i="25"/>
  <c r="C24" i="25"/>
  <c r="F16" i="25"/>
  <c r="F32" i="25" s="1"/>
  <c r="F15" i="25"/>
  <c r="F30" i="25" s="1"/>
  <c r="F14" i="25"/>
  <c r="G14" i="25" s="1"/>
  <c r="F13" i="25"/>
  <c r="G13" i="25" s="1"/>
  <c r="F12" i="25"/>
  <c r="G12" i="25" s="1"/>
  <c r="E32" i="24"/>
  <c r="D32" i="24"/>
  <c r="C32" i="24"/>
  <c r="E30" i="24"/>
  <c r="D30" i="24"/>
  <c r="C30" i="24"/>
  <c r="C31" i="24" s="1"/>
  <c r="C33" i="24" s="1"/>
  <c r="E29" i="24"/>
  <c r="D29" i="24"/>
  <c r="C29" i="24"/>
  <c r="E25" i="24"/>
  <c r="D25" i="24"/>
  <c r="C25" i="24"/>
  <c r="E24" i="24"/>
  <c r="D24" i="24"/>
  <c r="D26" i="24" s="1"/>
  <c r="D27" i="24" s="1"/>
  <c r="C24" i="24"/>
  <c r="C26" i="24" s="1"/>
  <c r="C27" i="24" s="1"/>
  <c r="F16" i="24"/>
  <c r="G16" i="24" s="1"/>
  <c r="F15" i="24"/>
  <c r="G15" i="24" s="1"/>
  <c r="F14" i="24"/>
  <c r="F29" i="24" s="1"/>
  <c r="G13" i="24"/>
  <c r="H13" i="24" s="1"/>
  <c r="H25" i="24" s="1"/>
  <c r="F13" i="24"/>
  <c r="F25" i="24" s="1"/>
  <c r="F12" i="24"/>
  <c r="G12" i="24" s="1"/>
  <c r="C33" i="20"/>
  <c r="H33" i="23"/>
  <c r="G33" i="23"/>
  <c r="F33" i="23"/>
  <c r="E33" i="23"/>
  <c r="D33" i="23"/>
  <c r="C33" i="23"/>
  <c r="H32" i="23"/>
  <c r="G32" i="23"/>
  <c r="F32" i="23"/>
  <c r="E32" i="23"/>
  <c r="D32" i="23"/>
  <c r="C32" i="23"/>
  <c r="H32" i="20"/>
  <c r="G32" i="20"/>
  <c r="F32" i="20"/>
  <c r="E32" i="20"/>
  <c r="D32" i="20"/>
  <c r="C32" i="20"/>
  <c r="G16" i="20"/>
  <c r="H16" i="20" s="1"/>
  <c r="F16" i="20"/>
  <c r="F16" i="23"/>
  <c r="G16" i="23" s="1"/>
  <c r="H16" i="23" s="1"/>
  <c r="F30" i="23"/>
  <c r="E30" i="23"/>
  <c r="E31" i="23" s="1"/>
  <c r="D30" i="23"/>
  <c r="C30" i="23"/>
  <c r="E29" i="23"/>
  <c r="D29" i="23"/>
  <c r="C29" i="23"/>
  <c r="C31" i="23" s="1"/>
  <c r="E25" i="23"/>
  <c r="D25" i="23"/>
  <c r="C25" i="23"/>
  <c r="F24" i="23"/>
  <c r="E24" i="23"/>
  <c r="D24" i="23"/>
  <c r="C24" i="23"/>
  <c r="F15" i="23"/>
  <c r="G15" i="23" s="1"/>
  <c r="F14" i="23"/>
  <c r="F29" i="23" s="1"/>
  <c r="F13" i="23"/>
  <c r="F25" i="23" s="1"/>
  <c r="F12" i="23"/>
  <c r="G12" i="23" s="1"/>
  <c r="E21" i="21"/>
  <c r="D21" i="21"/>
  <c r="C21" i="21"/>
  <c r="C22" i="21"/>
  <c r="C23" i="21" s="1"/>
  <c r="C24" i="21" s="1"/>
  <c r="D30" i="22"/>
  <c r="H26" i="22"/>
  <c r="G26" i="22"/>
  <c r="F26" i="22"/>
  <c r="E26" i="22"/>
  <c r="D26" i="22"/>
  <c r="C26" i="22"/>
  <c r="H25" i="22"/>
  <c r="G25" i="22"/>
  <c r="F25" i="22"/>
  <c r="E25" i="22"/>
  <c r="D25" i="22"/>
  <c r="C25" i="22"/>
  <c r="H23" i="22"/>
  <c r="G23" i="22"/>
  <c r="F23" i="22"/>
  <c r="E23" i="22"/>
  <c r="D23" i="22"/>
  <c r="C23" i="22"/>
  <c r="C24" i="22"/>
  <c r="C30" i="20"/>
  <c r="C29" i="20"/>
  <c r="C25" i="20"/>
  <c r="C24" i="20"/>
  <c r="H72" i="32" l="1"/>
  <c r="H73" i="32" s="1"/>
  <c r="H74" i="32" s="1"/>
  <c r="H77" i="32" s="1"/>
  <c r="C78" i="32" s="1"/>
  <c r="G41" i="26"/>
  <c r="H42" i="26"/>
  <c r="E45" i="26"/>
  <c r="D45" i="26"/>
  <c r="F33" i="26"/>
  <c r="F34" i="26" s="1"/>
  <c r="F42" i="26" s="1"/>
  <c r="G33" i="26"/>
  <c r="G34" i="26" s="1"/>
  <c r="C45" i="26"/>
  <c r="F24" i="25"/>
  <c r="D26" i="25"/>
  <c r="D27" i="25" s="1"/>
  <c r="F29" i="25"/>
  <c r="F31" i="25" s="1"/>
  <c r="F33" i="25" s="1"/>
  <c r="G15" i="25"/>
  <c r="G30" i="25" s="1"/>
  <c r="C26" i="25"/>
  <c r="C27" i="25" s="1"/>
  <c r="E26" i="25"/>
  <c r="E27" i="25" s="1"/>
  <c r="C31" i="25"/>
  <c r="C33" i="25" s="1"/>
  <c r="C34" i="25" s="1"/>
  <c r="C38" i="25" s="1"/>
  <c r="D31" i="25"/>
  <c r="D33" i="25" s="1"/>
  <c r="E31" i="25"/>
  <c r="E33" i="25" s="1"/>
  <c r="G24" i="25"/>
  <c r="H12" i="25"/>
  <c r="H24" i="25" s="1"/>
  <c r="G25" i="25"/>
  <c r="H13" i="25"/>
  <c r="H25" i="25" s="1"/>
  <c r="H14" i="25"/>
  <c r="H29" i="25" s="1"/>
  <c r="G29" i="25"/>
  <c r="G31" i="25" s="1"/>
  <c r="G16" i="25"/>
  <c r="F25" i="25"/>
  <c r="F30" i="24"/>
  <c r="F31" i="24" s="1"/>
  <c r="E26" i="24"/>
  <c r="E27" i="24" s="1"/>
  <c r="G25" i="24"/>
  <c r="G14" i="24"/>
  <c r="G29" i="24" s="1"/>
  <c r="E31" i="24"/>
  <c r="E33" i="24" s="1"/>
  <c r="E34" i="24" s="1"/>
  <c r="E38" i="24" s="1"/>
  <c r="D31" i="24"/>
  <c r="D33" i="24" s="1"/>
  <c r="D34" i="24" s="1"/>
  <c r="D38" i="24" s="1"/>
  <c r="H15" i="24"/>
  <c r="H30" i="24" s="1"/>
  <c r="G30" i="24"/>
  <c r="H16" i="24"/>
  <c r="H32" i="24" s="1"/>
  <c r="G32" i="24"/>
  <c r="G24" i="24"/>
  <c r="H12" i="24"/>
  <c r="H24" i="24" s="1"/>
  <c r="H26" i="24" s="1"/>
  <c r="H27" i="24" s="1"/>
  <c r="C34" i="24"/>
  <c r="C38" i="24" s="1"/>
  <c r="F24" i="24"/>
  <c r="F26" i="24" s="1"/>
  <c r="F27" i="24" s="1"/>
  <c r="F32" i="24"/>
  <c r="D26" i="23"/>
  <c r="D27" i="23" s="1"/>
  <c r="C26" i="23"/>
  <c r="C27" i="23" s="1"/>
  <c r="F31" i="23"/>
  <c r="G14" i="23"/>
  <c r="H14" i="23" s="1"/>
  <c r="H29" i="23" s="1"/>
  <c r="D31" i="23"/>
  <c r="D34" i="23" s="1"/>
  <c r="D38" i="23" s="1"/>
  <c r="E26" i="23"/>
  <c r="E27" i="23" s="1"/>
  <c r="E34" i="23" s="1"/>
  <c r="E38" i="23" s="1"/>
  <c r="F26" i="23"/>
  <c r="F27" i="23" s="1"/>
  <c r="G30" i="23"/>
  <c r="H15" i="23"/>
  <c r="H30" i="23" s="1"/>
  <c r="C34" i="23"/>
  <c r="C38" i="23" s="1"/>
  <c r="H12" i="23"/>
  <c r="H24" i="23" s="1"/>
  <c r="G24" i="23"/>
  <c r="G29" i="23"/>
  <c r="G13" i="23"/>
  <c r="C27" i="21"/>
  <c r="C30" i="22"/>
  <c r="C26" i="20"/>
  <c r="C27" i="20" s="1"/>
  <c r="C31" i="20"/>
  <c r="G42" i="26" l="1"/>
  <c r="G45" i="26" s="1"/>
  <c r="F45" i="26"/>
  <c r="H45" i="26"/>
  <c r="D34" i="25"/>
  <c r="D38" i="25" s="1"/>
  <c r="F26" i="25"/>
  <c r="F27" i="25" s="1"/>
  <c r="F34" i="25" s="1"/>
  <c r="F38" i="25" s="1"/>
  <c r="H15" i="25"/>
  <c r="H30" i="25" s="1"/>
  <c r="E34" i="25"/>
  <c r="E38" i="25" s="1"/>
  <c r="H31" i="25"/>
  <c r="H16" i="25"/>
  <c r="H32" i="25" s="1"/>
  <c r="G32" i="25"/>
  <c r="G33" i="25" s="1"/>
  <c r="H26" i="25"/>
  <c r="H27" i="25" s="1"/>
  <c r="G26" i="25"/>
  <c r="G27" i="25" s="1"/>
  <c r="G26" i="24"/>
  <c r="G27" i="24" s="1"/>
  <c r="G31" i="24"/>
  <c r="G33" i="24" s="1"/>
  <c r="G34" i="24" s="1"/>
  <c r="G38" i="24" s="1"/>
  <c r="H14" i="24"/>
  <c r="H29" i="24" s="1"/>
  <c r="H31" i="24" s="1"/>
  <c r="H33" i="24" s="1"/>
  <c r="H34" i="24" s="1"/>
  <c r="H38" i="24" s="1"/>
  <c r="F33" i="24"/>
  <c r="F34" i="24" s="1"/>
  <c r="F38" i="24" s="1"/>
  <c r="H31" i="23"/>
  <c r="C34" i="20"/>
  <c r="C38" i="20" s="1"/>
  <c r="G31" i="23"/>
  <c r="F34" i="23"/>
  <c r="F38" i="23" s="1"/>
  <c r="G25" i="23"/>
  <c r="G26" i="23" s="1"/>
  <c r="G27" i="23" s="1"/>
  <c r="G34" i="23" s="1"/>
  <c r="G38" i="23" s="1"/>
  <c r="H13" i="23"/>
  <c r="H25" i="23" s="1"/>
  <c r="H26" i="23" s="1"/>
  <c r="H27" i="23" s="1"/>
  <c r="H34" i="23" s="1"/>
  <c r="H38" i="23" s="1"/>
  <c r="C46" i="26" l="1"/>
  <c r="G34" i="25"/>
  <c r="G38" i="25" s="1"/>
  <c r="H33" i="25"/>
  <c r="H34" i="25" s="1"/>
  <c r="H38" i="25" s="1"/>
  <c r="C39" i="24"/>
  <c r="C39" i="23"/>
  <c r="C39" i="25" l="1"/>
  <c r="H38" i="18" l="1"/>
  <c r="G38" i="18"/>
  <c r="F38" i="18"/>
  <c r="E38" i="18"/>
  <c r="D38" i="18"/>
  <c r="E24" i="22"/>
  <c r="D24" i="22"/>
  <c r="F16" i="22"/>
  <c r="G16" i="22" s="1"/>
  <c r="F13" i="22"/>
  <c r="G13" i="22" s="1"/>
  <c r="H13" i="22" s="1"/>
  <c r="F12" i="22"/>
  <c r="G12" i="22" s="1"/>
  <c r="E22" i="21"/>
  <c r="D22" i="21"/>
  <c r="F14" i="21"/>
  <c r="G14" i="21" s="1"/>
  <c r="G22" i="21" s="1"/>
  <c r="F12" i="21"/>
  <c r="F13" i="21"/>
  <c r="G13" i="21" s="1"/>
  <c r="H13" i="21" s="1"/>
  <c r="E30" i="20"/>
  <c r="D30" i="20"/>
  <c r="E29" i="20"/>
  <c r="D29" i="20"/>
  <c r="E25" i="20"/>
  <c r="D25" i="20"/>
  <c r="E24" i="20"/>
  <c r="D24" i="20"/>
  <c r="F12" i="20"/>
  <c r="G12" i="20" s="1"/>
  <c r="F13" i="20"/>
  <c r="F25" i="20" s="1"/>
  <c r="F14" i="20"/>
  <c r="G14" i="20" s="1"/>
  <c r="F15" i="20"/>
  <c r="G15" i="20" s="1"/>
  <c r="E34" i="18"/>
  <c r="E36" i="18" s="1"/>
  <c r="D34" i="18"/>
  <c r="D36" i="18" s="1"/>
  <c r="C38" i="18"/>
  <c r="C41" i="18"/>
  <c r="C40" i="18"/>
  <c r="C39" i="18"/>
  <c r="C34" i="18"/>
  <c r="C36" i="18" s="1"/>
  <c r="E41" i="18"/>
  <c r="D41" i="18"/>
  <c r="E40" i="18"/>
  <c r="D40" i="18"/>
  <c r="E39" i="18"/>
  <c r="D39" i="18"/>
  <c r="B34" i="18"/>
  <c r="F23" i="18"/>
  <c r="G23" i="18" s="1"/>
  <c r="G41" i="18" s="1"/>
  <c r="F22" i="18"/>
  <c r="G22" i="18" s="1"/>
  <c r="H22" i="18" s="1"/>
  <c r="F21" i="18"/>
  <c r="G21" i="18" s="1"/>
  <c r="F20" i="18"/>
  <c r="F19" i="18"/>
  <c r="G19" i="18" s="1"/>
  <c r="H19" i="18" s="1"/>
  <c r="F12" i="18"/>
  <c r="D44" i="18" l="1"/>
  <c r="E44" i="18"/>
  <c r="E45" i="18" s="1"/>
  <c r="E48" i="18" s="1"/>
  <c r="C44" i="18"/>
  <c r="C45" i="18" s="1"/>
  <c r="D23" i="21"/>
  <c r="D24" i="21" s="1"/>
  <c r="D27" i="21" s="1"/>
  <c r="G12" i="21"/>
  <c r="G21" i="21" s="1"/>
  <c r="G23" i="21" s="1"/>
  <c r="G24" i="21" s="1"/>
  <c r="F21" i="21"/>
  <c r="E23" i="21"/>
  <c r="E24" i="21" s="1"/>
  <c r="E27" i="21" s="1"/>
  <c r="F22" i="21"/>
  <c r="F23" i="21" s="1"/>
  <c r="F24" i="21" s="1"/>
  <c r="H14" i="21"/>
  <c r="H22" i="21" s="1"/>
  <c r="E30" i="22"/>
  <c r="F24" i="20"/>
  <c r="F26" i="20" s="1"/>
  <c r="F27" i="20" s="1"/>
  <c r="E26" i="20"/>
  <c r="E27" i="20" s="1"/>
  <c r="D26" i="20"/>
  <c r="D27" i="20" s="1"/>
  <c r="E31" i="20"/>
  <c r="E33" i="20" s="1"/>
  <c r="H12" i="20"/>
  <c r="H24" i="20" s="1"/>
  <c r="G24" i="20"/>
  <c r="F30" i="20"/>
  <c r="D31" i="20"/>
  <c r="D33" i="20" s="1"/>
  <c r="D45" i="18"/>
  <c r="D48" i="18" s="1"/>
  <c r="H16" i="22"/>
  <c r="H24" i="22" s="1"/>
  <c r="G24" i="22"/>
  <c r="H12" i="22"/>
  <c r="F24" i="22"/>
  <c r="F41" i="18"/>
  <c r="G40" i="18"/>
  <c r="H21" i="18"/>
  <c r="H40" i="18" s="1"/>
  <c r="F40" i="18"/>
  <c r="F34" i="18"/>
  <c r="F36" i="18" s="1"/>
  <c r="F39" i="18"/>
  <c r="H23" i="18"/>
  <c r="H41" i="18" s="1"/>
  <c r="G30" i="20"/>
  <c r="H15" i="20"/>
  <c r="H30" i="20" s="1"/>
  <c r="H14" i="20"/>
  <c r="H29" i="20" s="1"/>
  <c r="G29" i="20"/>
  <c r="G13" i="20"/>
  <c r="F29" i="20"/>
  <c r="G20" i="18"/>
  <c r="G12" i="18"/>
  <c r="F44" i="18" l="1"/>
  <c r="F45" i="18" s="1"/>
  <c r="F48" i="18" s="1"/>
  <c r="H12" i="21"/>
  <c r="H21" i="21" s="1"/>
  <c r="H23" i="21" s="1"/>
  <c r="H24" i="21" s="1"/>
  <c r="H27" i="21" s="1"/>
  <c r="F27" i="21"/>
  <c r="G27" i="21"/>
  <c r="G30" i="22"/>
  <c r="E34" i="20"/>
  <c r="E38" i="20" s="1"/>
  <c r="D34" i="20"/>
  <c r="D38" i="20" s="1"/>
  <c r="F31" i="20"/>
  <c r="H31" i="20"/>
  <c r="H33" i="20" s="1"/>
  <c r="G31" i="20"/>
  <c r="G33" i="20" s="1"/>
  <c r="C48" i="18"/>
  <c r="F30" i="22"/>
  <c r="H30" i="22"/>
  <c r="C31" i="22" s="1"/>
  <c r="G39" i="18"/>
  <c r="G44" i="18" s="1"/>
  <c r="H20" i="18"/>
  <c r="H39" i="18" s="1"/>
  <c r="H44" i="18" s="1"/>
  <c r="G34" i="18"/>
  <c r="G36" i="18" s="1"/>
  <c r="H12" i="18"/>
  <c r="H34" i="18" s="1"/>
  <c r="H36" i="18" s="1"/>
  <c r="G25" i="20"/>
  <c r="G26" i="20" s="1"/>
  <c r="G27" i="20" s="1"/>
  <c r="H13" i="20"/>
  <c r="H25" i="20" s="1"/>
  <c r="H26" i="20" s="1"/>
  <c r="H27" i="20" s="1"/>
  <c r="F33" i="20" l="1"/>
  <c r="F34" i="20" s="1"/>
  <c r="F38" i="20" s="1"/>
  <c r="H34" i="20"/>
  <c r="H38" i="20" s="1"/>
  <c r="G34" i="20"/>
  <c r="G38" i="20" s="1"/>
  <c r="C28" i="21"/>
  <c r="G45" i="18"/>
  <c r="G48" i="18" s="1"/>
  <c r="H45" i="18"/>
  <c r="H48" i="18" s="1"/>
  <c r="C49" i="18" s="1"/>
  <c r="C39" i="20" l="1"/>
  <c r="E73" i="6"/>
  <c r="D73" i="6"/>
  <c r="E49" i="6"/>
  <c r="D49" i="6"/>
  <c r="F34" i="6"/>
  <c r="G34" i="6" s="1"/>
  <c r="F33" i="6"/>
  <c r="G33" i="6" s="1"/>
  <c r="F32" i="6"/>
  <c r="G32" i="6" s="1"/>
  <c r="F24" i="6"/>
  <c r="G24" i="6" s="1"/>
  <c r="F12" i="6"/>
  <c r="G12" i="6" s="1"/>
  <c r="F26" i="6"/>
  <c r="G26" i="6" s="1"/>
  <c r="F25" i="6"/>
  <c r="G25" i="6" s="1"/>
  <c r="F29" i="6"/>
  <c r="G29" i="6" s="1"/>
  <c r="F21" i="6"/>
  <c r="G21" i="6" s="1"/>
  <c r="F20" i="6"/>
  <c r="G20" i="6" s="1"/>
  <c r="F18" i="6"/>
  <c r="G18" i="6" s="1"/>
  <c r="F17" i="6"/>
  <c r="G17" i="6" s="1"/>
  <c r="F16" i="6"/>
  <c r="G16" i="6" s="1"/>
  <c r="F13" i="6"/>
  <c r="G13" i="6" s="1"/>
  <c r="F15" i="6"/>
  <c r="G15" i="6" s="1"/>
  <c r="F14" i="6"/>
  <c r="G14" i="6" s="1"/>
  <c r="F9" i="6"/>
  <c r="G9" i="6" s="1"/>
  <c r="G73" i="6" l="1"/>
  <c r="F73" i="6"/>
  <c r="G49" i="6"/>
  <c r="F49" i="6"/>
  <c r="G72" i="6" l="1"/>
  <c r="F72" i="6"/>
  <c r="E72" i="6"/>
  <c r="D72" i="6"/>
  <c r="E66" i="6"/>
  <c r="D66" i="6"/>
  <c r="E65" i="6"/>
  <c r="D65" i="6"/>
  <c r="G59" i="6"/>
  <c r="F59" i="6"/>
  <c r="E59" i="6"/>
  <c r="D59" i="6"/>
  <c r="E58" i="6"/>
  <c r="D58" i="6"/>
  <c r="E57" i="6"/>
  <c r="D57" i="6"/>
  <c r="E50" i="6"/>
  <c r="D50" i="6"/>
  <c r="E48" i="6"/>
  <c r="D48" i="6"/>
  <c r="E47" i="6"/>
  <c r="D47" i="6"/>
  <c r="E44" i="6"/>
  <c r="D44" i="6"/>
  <c r="C44" i="6"/>
  <c r="F57" i="6"/>
  <c r="G66" i="6"/>
  <c r="F58" i="6"/>
  <c r="G50" i="6"/>
  <c r="G47" i="6"/>
  <c r="G44" i="6"/>
  <c r="E67" i="6" l="1"/>
  <c r="D67" i="6"/>
  <c r="D51" i="6"/>
  <c r="E45" i="6"/>
  <c r="F48" i="6"/>
  <c r="G45" i="6"/>
  <c r="G58" i="6"/>
  <c r="E60" i="6"/>
  <c r="F44" i="6"/>
  <c r="F45" i="6" s="1"/>
  <c r="G65" i="6"/>
  <c r="G67" i="6" s="1"/>
  <c r="F60" i="6"/>
  <c r="D74" i="6"/>
  <c r="D45" i="6"/>
  <c r="E51" i="6"/>
  <c r="E52" i="6" s="1"/>
  <c r="F50" i="6"/>
  <c r="D60" i="6"/>
  <c r="G48" i="6"/>
  <c r="G51" i="6" s="1"/>
  <c r="E74" i="6"/>
  <c r="G57" i="6"/>
  <c r="F47" i="6"/>
  <c r="F65" i="6"/>
  <c r="F66" i="6"/>
  <c r="G74" i="6" l="1"/>
  <c r="F74" i="6"/>
  <c r="E77" i="6"/>
  <c r="G60" i="6"/>
  <c r="D52" i="6"/>
  <c r="D77" i="6" s="1"/>
  <c r="G52" i="6"/>
  <c r="F67" i="6"/>
  <c r="F51" i="6"/>
  <c r="F52" i="6" s="1"/>
  <c r="G77" i="6" l="1"/>
  <c r="F77" i="6"/>
  <c r="E78" i="6" s="1"/>
</calcChain>
</file>

<file path=xl/sharedStrings.xml><?xml version="1.0" encoding="utf-8"?>
<sst xmlns="http://schemas.openxmlformats.org/spreadsheetml/2006/main" count="773" uniqueCount="248">
  <si>
    <t>Revenue Components</t>
  </si>
  <si>
    <t>Cost Components</t>
  </si>
  <si>
    <t>Marketing Costs</t>
  </si>
  <si>
    <t>Item Acquisition Costs</t>
  </si>
  <si>
    <t>Media Components</t>
  </si>
  <si>
    <t>Number of Unpaid Media Placements</t>
  </si>
  <si>
    <t>Average Cost of Media Placement</t>
  </si>
  <si>
    <t>Profit Margin</t>
  </si>
  <si>
    <t>Operational Costs (Shipping and Warehouse)</t>
  </si>
  <si>
    <t>Total Revenue</t>
  </si>
  <si>
    <t>Total Cost</t>
  </si>
  <si>
    <t>Recycling Cost for Non-Sellable Items</t>
  </si>
  <si>
    <t>Avoided Cost of Earned Media</t>
  </si>
  <si>
    <t>Total Benefits</t>
  </si>
  <si>
    <t>Assumptions</t>
  </si>
  <si>
    <t>Discount Rate</t>
  </si>
  <si>
    <t>Customer Acquisition Cost</t>
  </si>
  <si>
    <t>Warehouse Operating Costs</t>
  </si>
  <si>
    <t>Avoided Cost in Customer Acquisitions</t>
  </si>
  <si>
    <t>FY2018</t>
  </si>
  <si>
    <t>FY2019</t>
  </si>
  <si>
    <t>DATA INPUTS: Company Data &amp; Assumptions</t>
  </si>
  <si>
    <t>FINAL RESULTS</t>
  </si>
  <si>
    <t>Number of Media Placements</t>
  </si>
  <si>
    <t>Average Annual Paid Media Cost</t>
  </si>
  <si>
    <t>NYU Stern Center for Sustainable Business</t>
  </si>
  <si>
    <t>FY2020</t>
  </si>
  <si>
    <t>FY2021</t>
  </si>
  <si>
    <t>CALCULATED: Reduction in Customer Acquisition Costs for Parent Company</t>
  </si>
  <si>
    <t>CALCULATED: Benefits of Unpaid Earned Media for Parent Company</t>
  </si>
  <si>
    <t># of Resale Program Customers who Purchase Any Parent Company Item for the First Time</t>
  </si>
  <si>
    <t>FY2019 NPV</t>
  </si>
  <si>
    <t>Cost to Recycle Non-sellable Items</t>
  </si>
  <si>
    <t xml:space="preserve">Revenue </t>
  </si>
  <si>
    <t>Resale Program Revenue</t>
  </si>
  <si>
    <t>Growth Rate</t>
  </si>
  <si>
    <t>Average Store Credit Per Transaction</t>
  </si>
  <si>
    <t>Number of Transactions that Warranted Store Credit</t>
  </si>
  <si>
    <t>Shipping Cost of Items To / From Warehouse Location</t>
  </si>
  <si>
    <t>Costs to Sanitize Resale Items</t>
  </si>
  <si>
    <t>Other Costs Associated with Preparing Used Items for Resale</t>
  </si>
  <si>
    <t>Customer Behavior Data</t>
  </si>
  <si>
    <t>Profit from Resale Program</t>
  </si>
  <si>
    <t>Cost of Store Credit Given to Customers</t>
  </si>
  <si>
    <t>Costs Related to Preparing Used Items for Resale (Sanitization, etc.)</t>
  </si>
  <si>
    <t>CALCULATED: Profit from Resale Program</t>
  </si>
  <si>
    <t>CALCULATED: Parent Company Profit from Business Funneled Through Resale Program</t>
  </si>
  <si>
    <t>Company Profit Margin</t>
  </si>
  <si>
    <t>Increase in Company Profits Due to Funnel of Resale Program Customers</t>
  </si>
  <si>
    <t>Average Spending per Customer</t>
  </si>
  <si>
    <t>Total Company Sales &amp; Marketing Expense</t>
  </si>
  <si>
    <t># of Customer Acquisitions</t>
  </si>
  <si>
    <t>*Assuming in-house resale program</t>
  </si>
  <si>
    <t xml:space="preserve">Invest in Circular Product Take-Back Programs Worked Example </t>
  </si>
  <si>
    <r>
      <rPr>
        <b/>
        <sz val="18"/>
        <color rgb="FFC00000"/>
        <rFont val="Arial"/>
        <family val="2"/>
      </rPr>
      <t>[DRAFT]</t>
    </r>
    <r>
      <rPr>
        <b/>
        <sz val="18"/>
        <color rgb="FF7030A0"/>
        <rFont val="Arial"/>
        <family val="2"/>
      </rPr>
      <t xml:space="preserve"> Sustainable Apparel ROSI Monetization</t>
    </r>
  </si>
  <si>
    <t>Number of Resale Customers who Purchase Any Parent Company Item for the First Time</t>
  </si>
  <si>
    <t>Number of Resale Program Customers who Purchase Parent Company Products By Chance</t>
  </si>
  <si>
    <t>Sub-practice: Implement Product Take-Back Programs for Resale</t>
  </si>
  <si>
    <t xml:space="preserve">Benefit: Sales from reused items within resale programs </t>
  </si>
  <si>
    <t xml:space="preserve">Sub-practice: Encourage Resale Participation  </t>
  </si>
  <si>
    <t>Benefit: New purchase sales from incentives for participation in take-back programs</t>
  </si>
  <si>
    <t>Number of Resale Program Customers who Purchase Parent Company Products Using Store Credit</t>
  </si>
  <si>
    <t>Benefit: Lower customer acquisition costs</t>
  </si>
  <si>
    <t>Benefit: Unpaid earned media</t>
  </si>
  <si>
    <r>
      <t xml:space="preserve">Implement Product Take-Back Programs for </t>
    </r>
    <r>
      <rPr>
        <b/>
        <i/>
        <sz val="14"/>
        <color rgb="FF7030A0"/>
        <rFont val="Arial"/>
        <family val="2"/>
      </rPr>
      <t>Resale</t>
    </r>
    <r>
      <rPr>
        <b/>
        <sz val="14"/>
        <color rgb="FF7030A0"/>
        <rFont val="Arial"/>
        <family val="2"/>
      </rPr>
      <t xml:space="preserve"> and Encourage Resale Participation </t>
    </r>
  </si>
  <si>
    <t>Acquisition Cost Per Customer</t>
  </si>
  <si>
    <t>Rate Assumptions</t>
  </si>
  <si>
    <t>Resale-Related Costs</t>
  </si>
  <si>
    <t>Costs to Sanitize Used Items</t>
  </si>
  <si>
    <t>Cost of Shipping Items to / from Warehouse Location</t>
  </si>
  <si>
    <t>Number of Customer Acquisitions</t>
  </si>
  <si>
    <t>CALCULATED: Unpaid Earned Media</t>
  </si>
  <si>
    <t>Revenue from Purchasing Company Products</t>
  </si>
  <si>
    <t>**All figures are illustrative</t>
  </si>
  <si>
    <t>Number of Unpaid Earned Media Placements (Due to Resale Program Visibility)</t>
  </si>
  <si>
    <t>Sustainable Apparel ROSI Monetization</t>
  </si>
  <si>
    <t>Number of Resale Program Customers Who Purchase Any Parent Company Item for the First Time</t>
  </si>
  <si>
    <t>CALCULATED: Reduction in Customer Acquisition Costs for Parent Company Given Attraction to Resale Program</t>
  </si>
  <si>
    <t>Sub-practice: Engage in Repair / Refurbish Programs</t>
  </si>
  <si>
    <t>Total Cost per Return</t>
  </si>
  <si>
    <t>Invest in Circular Product Take-Back Programs</t>
  </si>
  <si>
    <t>Benefit: Sales from reused items within resale programs</t>
  </si>
  <si>
    <t>Year 0</t>
  </si>
  <si>
    <t>Year 1</t>
  </si>
  <si>
    <t>Year 2</t>
  </si>
  <si>
    <t>Year 3</t>
  </si>
  <si>
    <t>Year 4</t>
  </si>
  <si>
    <t>Capital Investment Cost</t>
  </si>
  <si>
    <t>Capital Expenditure</t>
  </si>
  <si>
    <t>Year 5</t>
  </si>
  <si>
    <t>NPV</t>
  </si>
  <si>
    <t>Total Net Benefits</t>
  </si>
  <si>
    <t>Benefit: New purchase sales from participation in resale programs</t>
  </si>
  <si>
    <t>CALCULATED: Incremental Profit from Sales Spurred by the Existence of Resale Programs</t>
  </si>
  <si>
    <t>Incremental Profit</t>
  </si>
  <si>
    <t xml:space="preserve">Benefit: Lower customer acquisition costs </t>
  </si>
  <si>
    <t>Number of Resale Customers Who Purchase Any Parent Company Item for the First Time</t>
  </si>
  <si>
    <t>Avoided Cost for Customer Acquisitions</t>
  </si>
  <si>
    <t>Avoided Cost for Earned Media</t>
  </si>
  <si>
    <t xml:space="preserve">Sub-practice: Encourage Take-Backs for Products </t>
  </si>
  <si>
    <t>CALCULATED: Incremental Profit from Sales Spurred by the Existence of Take-Back Programs</t>
  </si>
  <si>
    <t>Additional Costs to Consider</t>
  </si>
  <si>
    <t xml:space="preserve">Minimize Production Waste &amp; Increase Product Longevity </t>
  </si>
  <si>
    <t>Benefit: New purchase sales from participation in repair / refurbish programs</t>
  </si>
  <si>
    <t>CALCULATED: Incremental Profit from Sales Spurred by the Existence of Repair / Refurbish Programs</t>
  </si>
  <si>
    <t>*Assuming in-house repair / refurbish programs</t>
  </si>
  <si>
    <t>*Assuming in-house resale programs</t>
  </si>
  <si>
    <t>*Assuming in-house take-back programs</t>
  </si>
  <si>
    <t>*Assuming in-house or third-party rental programs (use appropriate line items)</t>
  </si>
  <si>
    <t>Sub-practice: Promote Rental Business Models</t>
  </si>
  <si>
    <t>Benefit: New purchase sales from participation in rental programs</t>
  </si>
  <si>
    <t xml:space="preserve">Number of Transactions </t>
  </si>
  <si>
    <t xml:space="preserve">Additional Costs to Consider </t>
  </si>
  <si>
    <t>Number of Rental Program Program Customers who Purchase Company Products</t>
  </si>
  <si>
    <r>
      <rPr>
        <i/>
        <sz val="10"/>
        <rFont val="Arial"/>
        <family val="2"/>
      </rPr>
      <t>IF APPLICABLE</t>
    </r>
    <r>
      <rPr>
        <sz val="10"/>
        <rFont val="Arial"/>
        <family val="2"/>
      </rPr>
      <t>: Average Gift Card Per Transaction</t>
    </r>
  </si>
  <si>
    <r>
      <rPr>
        <i/>
        <sz val="10"/>
        <color theme="1"/>
        <rFont val="Arial"/>
        <family val="2"/>
      </rPr>
      <t>IF APPLICABLE:</t>
    </r>
    <r>
      <rPr>
        <sz val="10"/>
        <color theme="1"/>
        <rFont val="Arial"/>
        <family val="2"/>
      </rPr>
      <t xml:space="preserve"> Average Gift Card Per Transaction</t>
    </r>
  </si>
  <si>
    <r>
      <rPr>
        <i/>
        <sz val="10"/>
        <color theme="1"/>
        <rFont val="Arial"/>
        <family val="2"/>
      </rPr>
      <t>IF APPLICABLE:</t>
    </r>
    <r>
      <rPr>
        <sz val="10"/>
        <color theme="1"/>
        <rFont val="Arial"/>
        <family val="2"/>
      </rPr>
      <t xml:space="preserve"> Cost of Gift Card Given to Customers</t>
    </r>
  </si>
  <si>
    <t>CALCULATED: Incremental Profit from Sales Spurred by the Rental Programs</t>
  </si>
  <si>
    <t>Number of Transactions</t>
  </si>
  <si>
    <t>Reduce Product Returns</t>
  </si>
  <si>
    <t>Sub-practice: Invest in Improved E-commerce Experience on Company Website</t>
  </si>
  <si>
    <t>Benefit: Decrease in product returns &amp; associated costs (i.e. packaging &amp; transportation)</t>
  </si>
  <si>
    <t>Return-Related Costs</t>
  </si>
  <si>
    <t>Average Admin Cost per Return</t>
  </si>
  <si>
    <t>Average Packaging Cost per Return</t>
  </si>
  <si>
    <t>Average Transportation Cost per Return</t>
  </si>
  <si>
    <t>Status Quo E-commerce Experience</t>
  </si>
  <si>
    <t>Average Number of Returns</t>
  </si>
  <si>
    <t>CALCULATED: Cost Differential Between Status Quo and Improved E-commerce Experience</t>
  </si>
  <si>
    <t>Return Data</t>
  </si>
  <si>
    <t>Total Cost Related to Status Quo E-commerce Experience</t>
  </si>
  <si>
    <t>Additional Costs per Return</t>
  </si>
  <si>
    <t>Improved E-commerce Experience</t>
  </si>
  <si>
    <t>Total Cost Related to Improved E-commerce Experience</t>
  </si>
  <si>
    <t>Capital Expenditure for Improved E-commerce Experience</t>
  </si>
  <si>
    <t>Production Data</t>
  </si>
  <si>
    <t>Additional Revenue to Consider</t>
  </si>
  <si>
    <t>Improved E-commerce Experience Scenario: Average Number of Returns</t>
  </si>
  <si>
    <t>Number of Rental Program Customers who Purchase Company Products</t>
  </si>
  <si>
    <t xml:space="preserve">Marketing Costs </t>
  </si>
  <si>
    <t xml:space="preserve">Sub-practice: Use Digital Samples Instead of Physical Samples </t>
  </si>
  <si>
    <t xml:space="preserve">Packaging </t>
  </si>
  <si>
    <t xml:space="preserve">Transportation </t>
  </si>
  <si>
    <t>Administrative / Logistics</t>
  </si>
  <si>
    <t>Waste Disposal</t>
  </si>
  <si>
    <t>Product Development Costs</t>
  </si>
  <si>
    <t>Associated Costs</t>
  </si>
  <si>
    <r>
      <rPr>
        <i/>
        <sz val="10"/>
        <rFont val="Arial"/>
        <family val="2"/>
      </rPr>
      <t>IF APPLICABLE:</t>
    </r>
    <r>
      <rPr>
        <sz val="10"/>
        <rFont val="Arial"/>
        <family val="2"/>
      </rPr>
      <t xml:space="preserve"> Fees Paid to Third Party Rental Service (i.e. RTR)</t>
    </r>
  </si>
  <si>
    <t>Costs to Sanitize Items</t>
  </si>
  <si>
    <t>Costs Associated with Preparing Items to be Rented</t>
  </si>
  <si>
    <t>Rental Program Revenue</t>
  </si>
  <si>
    <t>Rental-Related Costs</t>
  </si>
  <si>
    <t>Capital Expenditure for Rental Capabilities</t>
  </si>
  <si>
    <t>Total Rental-Related Costs</t>
  </si>
  <si>
    <t>Rental-Related Costs*</t>
  </si>
  <si>
    <t xml:space="preserve">Sub-practice: Implement Product Take-Back Programs for Textile Recycling and Upcycling
</t>
  </si>
  <si>
    <t>Loss of Sales per Disruption</t>
  </si>
  <si>
    <t>Supply Chain-Related Costs</t>
  </si>
  <si>
    <t>Improved Scenario: Average Number of Supply Chain Disruptions</t>
  </si>
  <si>
    <t>Status Quo Scenario</t>
  </si>
  <si>
    <t>Total Cost Related to Status Quo Scenario</t>
  </si>
  <si>
    <t>Improved Scenario</t>
  </si>
  <si>
    <t>Average Number of Supply Chain Disruptions</t>
  </si>
  <si>
    <t>Additional Costs to Consider per Disruption</t>
  </si>
  <si>
    <t xml:space="preserve">Benefit: Reduced product development &amp; associated costs </t>
  </si>
  <si>
    <t>*Assumes one unique customer per transaction and assumes, if applicable, shopping credit as the incentive</t>
  </si>
  <si>
    <t>Number of Resale Program Customers who Purchase Company Products</t>
  </si>
  <si>
    <r>
      <rPr>
        <i/>
        <sz val="10"/>
        <color theme="1"/>
        <rFont val="Arial"/>
        <family val="2"/>
      </rPr>
      <t xml:space="preserve">IF APPLICABLE: </t>
    </r>
    <r>
      <rPr>
        <sz val="10"/>
        <color theme="1"/>
        <rFont val="Arial"/>
        <family val="2"/>
      </rPr>
      <t>Cost of Shopping Credit (or Other Incentive) Given to Customers</t>
    </r>
  </si>
  <si>
    <r>
      <rPr>
        <i/>
        <sz val="10"/>
        <rFont val="Arial"/>
        <family val="2"/>
      </rPr>
      <t xml:space="preserve">IF APPLICABLE: </t>
    </r>
    <r>
      <rPr>
        <sz val="10"/>
        <rFont val="Arial"/>
        <family val="2"/>
      </rPr>
      <t>Average Shopping Credit (or Other Incentive) per Transaction</t>
    </r>
  </si>
  <si>
    <t>Number of Take-Back Program Customers who Purchase Company Products</t>
  </si>
  <si>
    <r>
      <rPr>
        <i/>
        <sz val="10"/>
        <rFont val="Arial"/>
        <family val="2"/>
      </rPr>
      <t xml:space="preserve">IF APPLICABLE: </t>
    </r>
    <r>
      <rPr>
        <sz val="10"/>
        <rFont val="Arial"/>
        <family val="2"/>
      </rPr>
      <t>Average Gift Card Amount (or Other Incentive) per Transaction</t>
    </r>
  </si>
  <si>
    <r>
      <rPr>
        <i/>
        <sz val="10"/>
        <color theme="1"/>
        <rFont val="Arial"/>
        <family val="2"/>
      </rPr>
      <t xml:space="preserve">IF APPLICABLE: </t>
    </r>
    <r>
      <rPr>
        <sz val="10"/>
        <color theme="1"/>
        <rFont val="Arial"/>
        <family val="2"/>
      </rPr>
      <t>Cost of Gift Cards (or Other Incentive) Given to Customers</t>
    </r>
  </si>
  <si>
    <t>Number of Repair / Refurbish Program Customers who Purchase Company Products</t>
  </si>
  <si>
    <t>*Assumes one unique customer per transaction and assumes, if applicable, gift cards as the incentive</t>
  </si>
  <si>
    <t>CALCULATED: Cost Differential Between Status Quo and Improved Supply Chain Scenarios</t>
  </si>
  <si>
    <t>Supply Chain Disruptions Data</t>
  </si>
  <si>
    <t>Status Quo Scenario: Average Number of Supply Chain Disruptions</t>
  </si>
  <si>
    <t>Total Cost Related to Improved Scenario</t>
  </si>
  <si>
    <t>Associated Costs (in relation to materials used)</t>
  </si>
  <si>
    <t>**Assumes that the decrease in physical to digital samples associated fixed costs is proportional to the decrease in material costs between the physical to digital samples scenarios</t>
  </si>
  <si>
    <t>Physical Samples Scenario</t>
  </si>
  <si>
    <t>Digital Samples Scenario*</t>
  </si>
  <si>
    <t>Capital Expenditure for Physical Samples</t>
  </si>
  <si>
    <t>Capital Expenditure for Digital Samples Technology Capabilities</t>
  </si>
  <si>
    <t>Samples-Related Costs</t>
  </si>
  <si>
    <t>Digital Samples Scenario**</t>
  </si>
  <si>
    <t>CALCULATED: Cost Differential Between Physical and Digital Samples Scenarios</t>
  </si>
  <si>
    <t>Physical Samples Costs</t>
  </si>
  <si>
    <t>Total Cost Related to Physical Samples</t>
  </si>
  <si>
    <t>Digital Samples Costs</t>
  </si>
  <si>
    <t>Total Cost Related to Digital Samples</t>
  </si>
  <si>
    <t>*Assumes that there will still be a portion of physical samples as the digital samples are gradually implemented in the development process</t>
  </si>
  <si>
    <t>Repair / Refurbish Program Revenue</t>
  </si>
  <si>
    <t>Repair / Refurbish-Related Costs</t>
  </si>
  <si>
    <t>Costs Associated with Repairing / Refurbishing Items</t>
  </si>
  <si>
    <r>
      <rPr>
        <i/>
        <sz val="10"/>
        <rFont val="Arial"/>
        <family val="2"/>
      </rPr>
      <t>IF APPLICABLE:</t>
    </r>
    <r>
      <rPr>
        <sz val="10"/>
        <rFont val="Arial"/>
        <family val="2"/>
      </rPr>
      <t xml:space="preserve"> Fees Paid to Third Party Repair / Refurbish Service</t>
    </r>
  </si>
  <si>
    <t>Capital Expenditure for Repair / Refurbish Capabilities</t>
  </si>
  <si>
    <t>Total Repair / Refurbish-Related Costs</t>
  </si>
  <si>
    <t>Status Quo Scenario: Average Number of Returns</t>
  </si>
  <si>
    <t>Additional Costs for Improved E-commerce Experience</t>
  </si>
  <si>
    <t>Marketing Costs*</t>
  </si>
  <si>
    <t>*Assumes marketing costs are incremental to the company's marketing costs</t>
  </si>
  <si>
    <t>December 2020</t>
  </si>
  <si>
    <t>Investing in Circularity and Innovation: Monetization Templates</t>
  </si>
  <si>
    <t>Sub-practice: Implement Product Rental Programs</t>
  </si>
  <si>
    <t>Sub-practice: Implement Product Repair / Refurbish Programs</t>
  </si>
  <si>
    <t>Benefit: Sales from repair / refurbish programs</t>
  </si>
  <si>
    <t>Repair / Refurbish-Related Costs*</t>
  </si>
  <si>
    <t>*Ownership of costs will need to be determined when using third party repair / refurbish services in order to accurately reflect the company's net benefits</t>
  </si>
  <si>
    <t>Marketing Costs**</t>
  </si>
  <si>
    <t>**Assumes marketing costs are incremental</t>
  </si>
  <si>
    <t>The ROSI Framework</t>
  </si>
  <si>
    <t>Table of Contents</t>
  </si>
  <si>
    <t>Introduction to the Return on Sustainability Investment ("ROSI") Framework</t>
  </si>
  <si>
    <t>Benefit: New purchase sales from participation in take-back programs (upcycling, etc.)</t>
  </si>
  <si>
    <t xml:space="preserve">Benefit: Reduced supply chain disruption, given decreased supplier dependency and increased ownership on the company for this process </t>
  </si>
  <si>
    <t xml:space="preserve">
NYU Stern CSB’s ROSI (Return on Sustainability Investment) methodology is designed to be a simple yet comprehensive process that identifies material sustainability strategies and the changed practices resulting from those strategies.
When companies embed sustainability, this influences a suite of mediating factors that drive financial benefits for businesses and society, which can be quantified and monetized.
By using this template, apparel companies are one step closer to monetizing these financial benefits and further understanding the impact of sustainability-led initiatives</t>
  </si>
  <si>
    <t>Benefit: Sales from rental programs</t>
  </si>
  <si>
    <t>*Assuming in-house or third party rental programs</t>
  </si>
  <si>
    <t>*Assuming in-house or third party repair / refurbish programs</t>
  </si>
  <si>
    <r>
      <t xml:space="preserve">Invest in Circular Product Take-Back Programs
Sub-practice: Implement Product Take-Back Programs for Resale
</t>
    </r>
    <r>
      <rPr>
        <b/>
        <i/>
        <sz val="10"/>
        <color rgb="FF7030A0"/>
        <rFont val="Arial"/>
        <family val="2"/>
      </rPr>
      <t>Benefit: Sales from reused items within resale programs</t>
    </r>
    <r>
      <rPr>
        <sz val="10"/>
        <color theme="1"/>
        <rFont val="Arial"/>
        <family val="2"/>
      </rPr>
      <t xml:space="preserve">
</t>
    </r>
    <r>
      <rPr>
        <b/>
        <sz val="9"/>
        <color rgb="FF00B050"/>
        <rFont val="Arial"/>
        <family val="2"/>
      </rPr>
      <t>*Used by an apparel company partner</t>
    </r>
  </si>
  <si>
    <r>
      <t xml:space="preserve">Invest in Circular Product Take-Back Programs
Sub-practice: Implement Product Take-Back Programs for Textile Recycling and Upcycling
</t>
    </r>
    <r>
      <rPr>
        <b/>
        <i/>
        <sz val="10"/>
        <color rgb="FF7030A0"/>
        <rFont val="Arial"/>
        <family val="2"/>
      </rPr>
      <t xml:space="preserve">Benefit: Reduced supply chain disruption, given decreased supplier dependency and increased ownership on the company for this process </t>
    </r>
  </si>
  <si>
    <r>
      <t xml:space="preserve">Invest in Circular Product Take-Back Programs
Sub-practice: Encourage Resale Participation  
</t>
    </r>
    <r>
      <rPr>
        <b/>
        <i/>
        <sz val="10"/>
        <color rgb="FF7030A0"/>
        <rFont val="Arial"/>
        <family val="2"/>
      </rPr>
      <t>Benefit: New purchase sales from participation in resale programs</t>
    </r>
    <r>
      <rPr>
        <sz val="10"/>
        <color theme="1"/>
        <rFont val="Arial"/>
        <family val="2"/>
      </rPr>
      <t xml:space="preserve">
</t>
    </r>
    <r>
      <rPr>
        <b/>
        <sz val="9"/>
        <color rgb="FF00B050"/>
        <rFont val="Arial"/>
        <family val="2"/>
      </rPr>
      <t>*Used by an apparel company partner</t>
    </r>
  </si>
  <si>
    <r>
      <t xml:space="preserve">Invest in Circular Product Take-Back Programs
Sub-practice: Encourage Resale Participation  
</t>
    </r>
    <r>
      <rPr>
        <b/>
        <i/>
        <sz val="10"/>
        <color rgb="FF7030A0"/>
        <rFont val="Arial"/>
        <family val="2"/>
      </rPr>
      <t xml:space="preserve">Benefit: Lower customer acquisition costs 
</t>
    </r>
    <r>
      <rPr>
        <b/>
        <sz val="9"/>
        <color rgb="FF00B050"/>
        <rFont val="Arial"/>
        <family val="2"/>
      </rPr>
      <t>*Used by an apparel company partner</t>
    </r>
  </si>
  <si>
    <r>
      <t xml:space="preserve">Invest in Circular Product Take-Back Programs
Sub-practice: Encourage Resale Participation  
</t>
    </r>
    <r>
      <rPr>
        <b/>
        <i/>
        <sz val="10"/>
        <color rgb="FF7030A0"/>
        <rFont val="Arial"/>
        <family val="2"/>
      </rPr>
      <t>Benefit: Unpaid earned media</t>
    </r>
    <r>
      <rPr>
        <sz val="10"/>
        <color theme="1"/>
        <rFont val="Arial"/>
        <family val="2"/>
      </rPr>
      <t xml:space="preserve">
</t>
    </r>
    <r>
      <rPr>
        <b/>
        <sz val="9"/>
        <color rgb="FF00B050"/>
        <rFont val="Arial"/>
        <family val="2"/>
      </rPr>
      <t>*Used by an apparel company partner</t>
    </r>
  </si>
  <si>
    <r>
      <t xml:space="preserve">Invest in Circular Product Take-Back Programs
Sub-practice: Encourage Take-Backs for Products 
</t>
    </r>
    <r>
      <rPr>
        <b/>
        <i/>
        <sz val="10"/>
        <color rgb="FF7030A0"/>
        <rFont val="Arial"/>
        <family val="2"/>
      </rPr>
      <t>Benefit: New purchase sales from participation in take-back programs (upcycling, etc.)</t>
    </r>
  </si>
  <si>
    <r>
      <t xml:space="preserve">Minimize Production Waste &amp; Increase Product Longevity 
Sub-practice: Use Digital Samples Instead of Physical Samples 
</t>
    </r>
    <r>
      <rPr>
        <b/>
        <i/>
        <sz val="10"/>
        <color rgb="FF7030A0"/>
        <rFont val="Arial"/>
        <family val="2"/>
      </rPr>
      <t xml:space="preserve">Benefit: Reduced product development &amp; associated costs </t>
    </r>
  </si>
  <si>
    <r>
      <t xml:space="preserve">Minimize Production Waste &amp; Increase Product Longevity 
Sub-practice: Implement Product Rental Programs
</t>
    </r>
    <r>
      <rPr>
        <b/>
        <i/>
        <sz val="10"/>
        <color rgb="FF7030A0"/>
        <rFont val="Arial"/>
        <family val="2"/>
      </rPr>
      <t>Benefit: Sales from rental programs</t>
    </r>
  </si>
  <si>
    <r>
      <t xml:space="preserve">Minimize Production Waste &amp; Increase Product Longevity 
Sub-practice: Implement Product Repair / Refurbish Programs
</t>
    </r>
    <r>
      <rPr>
        <b/>
        <i/>
        <sz val="10"/>
        <color rgb="FF7030A0"/>
        <rFont val="Arial"/>
        <family val="2"/>
      </rPr>
      <t>Benefit: Sales from repair / refurbish programs</t>
    </r>
  </si>
  <si>
    <r>
      <t xml:space="preserve">Minimize Production Waste &amp; Increase Product Longevity 
Sub-practice: Promote Rental Business Models
</t>
    </r>
    <r>
      <rPr>
        <b/>
        <i/>
        <sz val="10"/>
        <color rgb="FF7030A0"/>
        <rFont val="Arial"/>
        <family val="2"/>
      </rPr>
      <t>Benefit: New purchase sales from participation in rental programs</t>
    </r>
  </si>
  <si>
    <r>
      <t xml:space="preserve">Minimize Production Waste &amp; Increase Product Longevity 
Sub-practice: Engage in Repair / Refurbish Programs
</t>
    </r>
    <r>
      <rPr>
        <b/>
        <i/>
        <sz val="10"/>
        <color rgb="FF7030A0"/>
        <rFont val="Arial"/>
        <family val="2"/>
      </rPr>
      <t>Benefit: New purchase sales from participation in repair / refurbish programs</t>
    </r>
  </si>
  <si>
    <r>
      <t xml:space="preserve">Reduce Product Returns
Sub-practice: Invest in Improved E-commerce Experience on Company Website
</t>
    </r>
    <r>
      <rPr>
        <b/>
        <i/>
        <sz val="10"/>
        <color rgb="FF7030A0"/>
        <rFont val="Arial"/>
        <family val="2"/>
      </rPr>
      <t>Benefit: Decrease in product returns &amp; associated costs (i.e. packaging &amp; transportation)</t>
    </r>
  </si>
  <si>
    <t xml:space="preserve">Capital Expenditure for Improved Supply Chain </t>
  </si>
  <si>
    <t>*Ownership of costs will need to be determined when using third party rental services in order to accurately reflect the company's net benefits</t>
  </si>
  <si>
    <t>CALCULATED: Profit from Rental Programs</t>
  </si>
  <si>
    <t>Profit from Rental Programs</t>
  </si>
  <si>
    <t>CALCULATED: Profit from Repair / Refurbish Programs</t>
  </si>
  <si>
    <t>Profit from Repair / Refurbish Programs</t>
  </si>
  <si>
    <t>Cost Savings</t>
  </si>
  <si>
    <t>***Assumes materials costs are for prototypes and for showrooms</t>
  </si>
  <si>
    <t>Prototype / Sample Yardage</t>
  </si>
  <si>
    <t>Cost per Yard</t>
  </si>
  <si>
    <t>Yardage Costs</t>
  </si>
  <si>
    <t>% Reduction in Physical Materials (of Yardage)</t>
  </si>
  <si>
    <t>Total Cost Savings for Customer Acquisitions</t>
  </si>
  <si>
    <t>Total Cost Savings of Earned Media</t>
  </si>
  <si>
    <t>Total Cost Savings</t>
  </si>
  <si>
    <t>In this Excel workbook are monetization tools that we’ve been developing at NYU Stern CSB. Some of these tools are based on active partnership work with our apparel company partners (highlighted below), while others are based off of research and conversations we've had in terms of how to monetize these sustainability-related benefits in past projects. We welcome feedback and strongly encourage companies to test and modify these tools, as appropriate. We are also open to partnerships on how to build these monetization tools further. 
*Note: Additional knock-on / indirect effects that these benefits may have on other parts of the company are not currently incorporated in these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</si>
</sst>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8"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0"/>
      <color theme="1"/>
      <name val="Arial"/>
      <family val="2"/>
    </font>
    <font>
      <i/>
      <sz val="10"/>
      <color theme="1"/>
      <name val="Arial"/>
      <family val="2"/>
    </font>
    <font>
      <b/>
      <i/>
      <sz val="10"/>
      <name val="Arial"/>
      <family val="2"/>
    </font>
    <font>
      <b/>
      <i/>
      <sz val="10"/>
      <color theme="1"/>
      <name val="Arial"/>
      <family val="2"/>
    </font>
    <font>
      <sz val="11"/>
      <name val="Calibri"/>
      <family val="2"/>
      <scheme val="minor"/>
    </font>
    <font>
      <b/>
      <sz val="18"/>
      <color rgb="FF7030A0"/>
      <name val="Arial"/>
      <family val="2"/>
    </font>
    <font>
      <sz val="11"/>
      <color rgb="FFC00000"/>
      <name val="Calibri"/>
      <family val="2"/>
      <scheme val="minor"/>
    </font>
    <font>
      <sz val="11"/>
      <color theme="1"/>
      <name val="Arial"/>
      <family val="2"/>
    </font>
    <font>
      <sz val="11"/>
      <color theme="1"/>
      <name val="Calibri"/>
      <family val="2"/>
    </font>
    <font>
      <b/>
      <sz val="18"/>
      <color theme="1"/>
      <name val="Arial"/>
      <family val="2"/>
    </font>
    <font>
      <sz val="10"/>
      <color rgb="FF00B0F0"/>
      <name val="Arial"/>
      <family val="2"/>
    </font>
    <font>
      <b/>
      <sz val="16"/>
      <color rgb="FF7030A0"/>
      <name val="Arial"/>
      <family val="2"/>
    </font>
    <font>
      <b/>
      <sz val="14"/>
      <color rgb="FF7030A0"/>
      <name val="Arial"/>
      <family val="2"/>
    </font>
    <font>
      <b/>
      <sz val="12"/>
      <color rgb="FF7030A0"/>
      <name val="Arial"/>
      <family val="2"/>
    </font>
    <font>
      <b/>
      <i/>
      <sz val="12"/>
      <color rgb="FF7030A0"/>
      <name val="Arial"/>
      <family val="2"/>
    </font>
    <font>
      <b/>
      <i/>
      <sz val="10"/>
      <color rgb="FF7030A0"/>
      <name val="Arial"/>
      <family val="2"/>
    </font>
    <font>
      <b/>
      <i/>
      <sz val="14"/>
      <color rgb="FF7030A0"/>
      <name val="Arial"/>
      <family val="2"/>
    </font>
    <font>
      <b/>
      <sz val="18"/>
      <color rgb="FFC00000"/>
      <name val="Arial"/>
      <family val="2"/>
    </font>
    <font>
      <b/>
      <sz val="10"/>
      <color rgb="FF7030A0"/>
      <name val="Arial"/>
      <family val="2"/>
    </font>
    <font>
      <sz val="10"/>
      <color theme="1"/>
      <name val="Calibri"/>
      <family val="2"/>
      <scheme val="minor"/>
    </font>
    <font>
      <sz val="10"/>
      <color rgb="FFC00000"/>
      <name val="Calibri"/>
      <family val="2"/>
      <scheme val="minor"/>
    </font>
    <font>
      <i/>
      <sz val="10"/>
      <name val="Arial"/>
      <family val="2"/>
    </font>
    <font>
      <b/>
      <sz val="10"/>
      <color rgb="FFC00000"/>
      <name val="Calibri"/>
      <family val="2"/>
      <scheme val="minor"/>
    </font>
    <font>
      <u/>
      <sz val="12"/>
      <color theme="10"/>
      <name val="Calibri"/>
      <family val="2"/>
      <scheme val="minor"/>
    </font>
    <font>
      <b/>
      <u/>
      <sz val="24"/>
      <color rgb="FF7030A0"/>
      <name val="Arial"/>
      <family val="2"/>
    </font>
    <font>
      <sz val="12"/>
      <color theme="1"/>
      <name val="Calibri"/>
      <family val="2"/>
      <scheme val="minor"/>
    </font>
    <font>
      <sz val="12"/>
      <color theme="1"/>
      <name val="Arial"/>
      <family val="2"/>
    </font>
    <font>
      <sz val="12"/>
      <name val="Arial"/>
      <family val="2"/>
    </font>
    <font>
      <b/>
      <sz val="24"/>
      <color rgb="FF7030A0"/>
      <name val="Arial"/>
      <family val="2"/>
    </font>
    <font>
      <i/>
      <sz val="12"/>
      <color rgb="FF7030A0"/>
      <name val="Arial"/>
      <family val="2"/>
    </font>
    <font>
      <sz val="11"/>
      <color rgb="FF7030A0"/>
      <name val="Arial"/>
      <family val="2"/>
    </font>
    <font>
      <b/>
      <sz val="14"/>
      <color theme="1"/>
      <name val="Arial"/>
      <family val="2"/>
    </font>
    <font>
      <b/>
      <sz val="9"/>
      <color rgb="FF00B050"/>
      <name val="Arial"/>
      <family val="2"/>
    </font>
  </fonts>
  <fills count="9">
    <fill>
      <patternFill patternType="none"/>
    </fill>
    <fill>
      <patternFill patternType="gray125"/>
    </fill>
    <fill>
      <patternFill patternType="solid">
        <fgColor rgb="FF7030A0"/>
        <bgColor indexed="64"/>
      </patternFill>
    </fill>
    <fill>
      <patternFill patternType="solid">
        <fgColor rgb="FFD0A0EA"/>
        <bgColor indexed="64"/>
      </patternFill>
    </fill>
    <fill>
      <patternFill patternType="solid">
        <fgColor theme="7" tint="0.59999389629810485"/>
        <bgColor indexed="64"/>
      </patternFill>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xf numFmtId="9" fontId="1" fillId="0" borderId="0" applyFont="0" applyFill="0" applyBorder="0" applyAlignment="0" applyProtection="0"/>
    <xf numFmtId="0" fontId="28" fillId="0" borderId="0" applyNumberFormat="0" applyFill="0" applyBorder="0" applyAlignment="0" applyProtection="0"/>
    <xf numFmtId="0" fontId="30" fillId="0" borderId="0"/>
  </cellStyleXfs>
  <cellXfs count="158">
    <xf numFmtId="0" fontId="0" fillId="0" borderId="0" xfId="0"/>
    <xf numFmtId="0" fontId="0" fillId="0" borderId="0" xfId="0" applyAlignment="1">
      <alignment wrapText="1"/>
    </xf>
    <xf numFmtId="0" fontId="0" fillId="0" borderId="0" xfId="0" applyBorder="1"/>
    <xf numFmtId="0" fontId="0" fillId="0" borderId="0" xfId="0" applyAlignment="1">
      <alignment vertical="center"/>
    </xf>
    <xf numFmtId="165" fontId="8" fillId="4" borderId="0"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165" fontId="2" fillId="0" borderId="0" xfId="0" applyNumberFormat="1" applyFont="1" applyBorder="1" applyAlignment="1">
      <alignment vertical="center"/>
    </xf>
    <xf numFmtId="0" fontId="8" fillId="4" borderId="4" xfId="0" applyFont="1" applyFill="1" applyBorder="1" applyAlignment="1">
      <alignment horizontal="left" vertical="center" wrapText="1"/>
    </xf>
    <xf numFmtId="165" fontId="7" fillId="4" borderId="5" xfId="0" applyNumberFormat="1" applyFont="1" applyFill="1" applyBorder="1" applyAlignment="1">
      <alignment vertical="center"/>
    </xf>
    <xf numFmtId="1" fontId="2" fillId="0" borderId="0" xfId="0" applyNumberFormat="1" applyFont="1" applyFill="1" applyBorder="1" applyAlignment="1">
      <alignment vertical="center"/>
    </xf>
    <xf numFmtId="165" fontId="8" fillId="4" borderId="5" xfId="0" applyNumberFormat="1" applyFont="1" applyFill="1" applyBorder="1" applyAlignment="1">
      <alignment horizontal="left" vertical="center" wrapText="1"/>
    </xf>
    <xf numFmtId="0" fontId="8" fillId="4" borderId="3" xfId="0" applyFont="1" applyFill="1" applyBorder="1" applyAlignment="1">
      <alignment horizontal="left" vertical="center" wrapText="1"/>
    </xf>
    <xf numFmtId="0" fontId="11" fillId="0" borderId="0" xfId="0" applyFont="1" applyAlignment="1">
      <alignment wrapText="1"/>
    </xf>
    <xf numFmtId="0" fontId="10" fillId="0" borderId="0" xfId="0" applyFont="1" applyBorder="1" applyAlignment="1">
      <alignment vertical="center"/>
    </xf>
    <xf numFmtId="0" fontId="0" fillId="0" borderId="0" xfId="0" applyBorder="1" applyAlignment="1">
      <alignment vertical="center"/>
    </xf>
    <xf numFmtId="0" fontId="4" fillId="2" borderId="1" xfId="0" applyFont="1" applyFill="1" applyBorder="1" applyAlignment="1">
      <alignment horizontal="left" vertical="center"/>
    </xf>
    <xf numFmtId="0" fontId="2" fillId="0" borderId="3" xfId="0" applyFont="1" applyBorder="1" applyAlignment="1">
      <alignment horizontal="left" vertical="center"/>
    </xf>
    <xf numFmtId="0" fontId="3" fillId="3" borderId="3" xfId="0" applyFont="1" applyFill="1" applyBorder="1" applyAlignment="1">
      <alignment horizontal="left" vertical="center"/>
    </xf>
    <xf numFmtId="0" fontId="2" fillId="0" borderId="3" xfId="0" applyFont="1" applyBorder="1" applyAlignment="1">
      <alignment horizontal="left" vertical="center" wrapText="1"/>
    </xf>
    <xf numFmtId="0" fontId="0" fillId="0" borderId="3" xfId="0" applyBorder="1" applyAlignment="1">
      <alignment vertical="center"/>
    </xf>
    <xf numFmtId="0" fontId="5" fillId="0" borderId="3" xfId="0" applyFont="1" applyFill="1" applyBorder="1" applyAlignment="1">
      <alignment horizontal="left" vertical="center" wrapText="1"/>
    </xf>
    <xf numFmtId="0" fontId="2" fillId="0" borderId="4" xfId="0" applyFont="1" applyBorder="1" applyAlignment="1">
      <alignment horizontal="left" vertical="center" wrapText="1"/>
    </xf>
    <xf numFmtId="0" fontId="9" fillId="0" borderId="0" xfId="0" applyFont="1" applyBorder="1" applyAlignment="1">
      <alignment vertical="center"/>
    </xf>
    <xf numFmtId="0" fontId="5" fillId="0" borderId="3" xfId="0" applyFont="1" applyBorder="1" applyAlignment="1">
      <alignment horizontal="left" vertical="center" wrapText="1"/>
    </xf>
    <xf numFmtId="0" fontId="7" fillId="0" borderId="3" xfId="0" applyFont="1" applyFill="1" applyBorder="1" applyAlignment="1">
      <alignment horizontal="left" vertical="center" wrapText="1"/>
    </xf>
    <xf numFmtId="0" fontId="4" fillId="2" borderId="2" xfId="0" applyFont="1" applyFill="1" applyBorder="1" applyAlignment="1">
      <alignment horizontal="center" vertical="center"/>
    </xf>
    <xf numFmtId="0" fontId="5" fillId="3" borderId="0"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9" fontId="5" fillId="0" borderId="0" xfId="0" applyNumberFormat="1" applyFont="1" applyBorder="1" applyAlignment="1">
      <alignment vertical="center"/>
    </xf>
    <xf numFmtId="165" fontId="5" fillId="0" borderId="0" xfId="0" applyNumberFormat="1" applyFont="1" applyBorder="1" applyAlignment="1">
      <alignment vertical="center"/>
    </xf>
    <xf numFmtId="165" fontId="5" fillId="0" borderId="0" xfId="0" applyNumberFormat="1" applyFont="1" applyBorder="1" applyAlignment="1">
      <alignment horizontal="left" vertical="center" wrapText="1"/>
    </xf>
    <xf numFmtId="164" fontId="2" fillId="0" borderId="0" xfId="1" applyNumberFormat="1" applyFont="1" applyFill="1" applyBorder="1" applyAlignment="1">
      <alignment vertical="center"/>
    </xf>
    <xf numFmtId="0" fontId="13" fillId="5" borderId="0" xfId="3" applyFont="1" applyFill="1"/>
    <xf numFmtId="14" fontId="14" fillId="5" borderId="0" xfId="3" applyNumberFormat="1" applyFont="1" applyFill="1"/>
    <xf numFmtId="0" fontId="4" fillId="2" borderId="6" xfId="0" applyFont="1" applyFill="1" applyBorder="1" applyAlignment="1">
      <alignment horizontal="center"/>
    </xf>
    <xf numFmtId="0" fontId="0" fillId="0" borderId="7" xfId="0" applyBorder="1"/>
    <xf numFmtId="0" fontId="0" fillId="3" borderId="7" xfId="0" applyFill="1" applyBorder="1"/>
    <xf numFmtId="0" fontId="6" fillId="0" borderId="7" xfId="0" applyFont="1" applyBorder="1" applyAlignment="1">
      <alignment vertical="center" wrapText="1"/>
    </xf>
    <xf numFmtId="0" fontId="8" fillId="4" borderId="8"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 xfId="0" applyFont="1" applyFill="1" applyBorder="1" applyAlignment="1">
      <alignment horizontal="center" vertical="center"/>
    </xf>
    <xf numFmtId="165" fontId="15" fillId="0" borderId="0" xfId="2" applyNumberFormat="1" applyFont="1" applyFill="1" applyBorder="1" applyAlignment="1">
      <alignment vertical="center"/>
    </xf>
    <xf numFmtId="0" fontId="15" fillId="3" borderId="0" xfId="0" applyFont="1" applyFill="1" applyBorder="1" applyAlignment="1">
      <alignment vertical="center"/>
    </xf>
    <xf numFmtId="0" fontId="15" fillId="0" borderId="0" xfId="0" applyFont="1" applyBorder="1" applyAlignment="1">
      <alignment vertical="center"/>
    </xf>
    <xf numFmtId="164" fontId="15" fillId="0" borderId="0" xfId="1" applyNumberFormat="1" applyFont="1" applyFill="1" applyBorder="1" applyAlignment="1">
      <alignment vertical="center"/>
    </xf>
    <xf numFmtId="0" fontId="15" fillId="0" borderId="0" xfId="0" applyFont="1" applyFill="1" applyBorder="1" applyAlignment="1">
      <alignment vertical="center"/>
    </xf>
    <xf numFmtId="164" fontId="15" fillId="0" borderId="0" xfId="1" applyNumberFormat="1" applyFont="1" applyFill="1" applyBorder="1" applyAlignment="1">
      <alignment horizontal="right" vertical="center"/>
    </xf>
    <xf numFmtId="1" fontId="15"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9" fontId="15" fillId="0" borderId="0" xfId="0" applyNumberFormat="1" applyFont="1" applyBorder="1" applyAlignment="1">
      <alignment vertical="center"/>
    </xf>
    <xf numFmtId="9" fontId="15" fillId="0" borderId="0" xfId="0" applyNumberFormat="1" applyFont="1" applyFill="1" applyBorder="1" applyAlignment="1">
      <alignment vertical="center"/>
    </xf>
    <xf numFmtId="164" fontId="15" fillId="0" borderId="0" xfId="0" applyNumberFormat="1" applyFont="1" applyFill="1" applyBorder="1" applyAlignment="1">
      <alignment vertical="center"/>
    </xf>
    <xf numFmtId="9" fontId="15" fillId="0" borderId="5" xfId="0" applyNumberFormat="1" applyFont="1" applyFill="1" applyBorder="1" applyAlignment="1">
      <alignment vertical="center"/>
    </xf>
    <xf numFmtId="165" fontId="2" fillId="0" borderId="7" xfId="0" applyNumberFormat="1" applyFont="1" applyBorder="1" applyAlignment="1">
      <alignment vertical="center"/>
    </xf>
    <xf numFmtId="165" fontId="7" fillId="4" borderId="8" xfId="0" applyNumberFormat="1" applyFont="1" applyFill="1" applyBorder="1" applyAlignment="1">
      <alignment vertical="center"/>
    </xf>
    <xf numFmtId="164" fontId="2" fillId="0" borderId="7" xfId="1" applyNumberFormat="1" applyFont="1" applyFill="1" applyBorder="1" applyAlignment="1">
      <alignment vertical="center"/>
    </xf>
    <xf numFmtId="9" fontId="5" fillId="0" borderId="7" xfId="0" applyNumberFormat="1" applyFont="1" applyBorder="1" applyAlignment="1">
      <alignment vertical="center"/>
    </xf>
    <xf numFmtId="165" fontId="5" fillId="0" borderId="7" xfId="0" applyNumberFormat="1" applyFont="1" applyBorder="1" applyAlignment="1">
      <alignment vertical="center"/>
    </xf>
    <xf numFmtId="1" fontId="2" fillId="0" borderId="7" xfId="0" applyNumberFormat="1" applyFont="1" applyFill="1" applyBorder="1" applyAlignment="1">
      <alignment vertical="center"/>
    </xf>
    <xf numFmtId="165" fontId="5" fillId="0" borderId="7" xfId="0" applyNumberFormat="1" applyFont="1" applyBorder="1" applyAlignment="1">
      <alignment horizontal="left" vertical="center" wrapText="1"/>
    </xf>
    <xf numFmtId="165" fontId="8" fillId="4" borderId="8" xfId="0" applyNumberFormat="1" applyFont="1" applyFill="1" applyBorder="1" applyAlignment="1">
      <alignment horizontal="left" vertical="center" wrapText="1"/>
    </xf>
    <xf numFmtId="165" fontId="8" fillId="4" borderId="7" xfId="0" applyNumberFormat="1" applyFont="1" applyFill="1" applyBorder="1" applyAlignment="1">
      <alignment horizontal="left" vertical="center" wrapText="1"/>
    </xf>
    <xf numFmtId="0" fontId="2" fillId="0" borderId="3" xfId="0" applyFont="1" applyFill="1" applyBorder="1" applyAlignment="1">
      <alignment horizontal="left" vertical="center"/>
    </xf>
    <xf numFmtId="9" fontId="15" fillId="0" borderId="8" xfId="0" applyNumberFormat="1" applyFont="1" applyBorder="1" applyAlignment="1">
      <alignment vertical="center" wrapText="1"/>
    </xf>
    <xf numFmtId="9" fontId="15" fillId="0" borderId="7" xfId="0" applyNumberFormat="1" applyFont="1" applyFill="1" applyBorder="1" applyAlignment="1">
      <alignment vertical="center"/>
    </xf>
    <xf numFmtId="165" fontId="2" fillId="0" borderId="0" xfId="2" applyNumberFormat="1" applyFont="1" applyFill="1" applyBorder="1" applyAlignment="1">
      <alignment vertical="center"/>
    </xf>
    <xf numFmtId="0" fontId="2" fillId="0" borderId="0" xfId="0" applyFont="1" applyFill="1" applyBorder="1" applyAlignment="1">
      <alignment vertical="center"/>
    </xf>
    <xf numFmtId="165" fontId="2" fillId="0" borderId="7" xfId="2" applyNumberFormat="1" applyFont="1" applyFill="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7" fillId="0" borderId="3" xfId="0" applyFont="1" applyFill="1" applyBorder="1" applyAlignment="1">
      <alignment horizontal="left" vertical="center"/>
    </xf>
    <xf numFmtId="9" fontId="2" fillId="0" borderId="0" xfId="4" applyFont="1" applyFill="1" applyBorder="1" applyAlignment="1">
      <alignment vertical="center"/>
    </xf>
    <xf numFmtId="0" fontId="5" fillId="0" borderId="3" xfId="0" applyFont="1" applyBorder="1" applyAlignment="1">
      <alignment horizontal="left" vertical="center" wrapText="1" indent="1"/>
    </xf>
    <xf numFmtId="0" fontId="5" fillId="0" borderId="3" xfId="0" applyFont="1" applyFill="1" applyBorder="1" applyAlignment="1">
      <alignment horizontal="left" vertical="center" wrapText="1" indent="1"/>
    </xf>
    <xf numFmtId="9" fontId="2" fillId="0" borderId="7" xfId="4" applyFont="1" applyFill="1" applyBorder="1" applyAlignment="1">
      <alignment vertical="center"/>
    </xf>
    <xf numFmtId="165" fontId="20" fillId="4" borderId="5" xfId="0" applyNumberFormat="1" applyFont="1" applyFill="1" applyBorder="1" applyAlignment="1">
      <alignment horizontal="left" vertical="center" wrapText="1"/>
    </xf>
    <xf numFmtId="0" fontId="2" fillId="0" borderId="3" xfId="0" applyFont="1" applyBorder="1" applyAlignment="1">
      <alignment horizontal="left" vertical="center" wrapText="1" indent="1"/>
    </xf>
    <xf numFmtId="0" fontId="20" fillId="4" borderId="4" xfId="0" applyFont="1" applyFill="1" applyBorder="1" applyAlignment="1">
      <alignment horizontal="left" vertical="center" wrapText="1"/>
    </xf>
    <xf numFmtId="0" fontId="7" fillId="0" borderId="0" xfId="0" applyFont="1" applyBorder="1" applyAlignment="1">
      <alignment vertical="center"/>
    </xf>
    <xf numFmtId="9" fontId="15" fillId="0" borderId="8" xfId="0" applyNumberFormat="1" applyFont="1" applyFill="1" applyBorder="1" applyAlignment="1">
      <alignment vertical="center"/>
    </xf>
    <xf numFmtId="1" fontId="5" fillId="0" borderId="0" xfId="0" applyNumberFormat="1" applyFont="1" applyFill="1" applyBorder="1" applyAlignment="1">
      <alignment vertical="center"/>
    </xf>
    <xf numFmtId="1" fontId="5" fillId="0" borderId="7" xfId="0" applyNumberFormat="1" applyFont="1" applyFill="1" applyBorder="1" applyAlignment="1">
      <alignment vertical="center"/>
    </xf>
    <xf numFmtId="0" fontId="23" fillId="0" borderId="0" xfId="0" applyFont="1" applyBorder="1" applyAlignment="1">
      <alignment vertical="center"/>
    </xf>
    <xf numFmtId="0" fontId="24" fillId="0" borderId="0" xfId="0" applyFont="1" applyAlignment="1">
      <alignment vertical="center"/>
    </xf>
    <xf numFmtId="0" fontId="24" fillId="0" borderId="0" xfId="0" applyFont="1"/>
    <xf numFmtId="0" fontId="20" fillId="0" borderId="0" xfId="0" applyFont="1" applyBorder="1" applyAlignment="1">
      <alignment vertical="center"/>
    </xf>
    <xf numFmtId="0" fontId="24" fillId="0" borderId="0" xfId="0" applyFont="1" applyBorder="1" applyAlignment="1">
      <alignment vertical="center"/>
    </xf>
    <xf numFmtId="0" fontId="24" fillId="0" borderId="0" xfId="0" applyFont="1" applyBorder="1"/>
    <xf numFmtId="0" fontId="24" fillId="0" borderId="7" xfId="0" applyFont="1" applyBorder="1"/>
    <xf numFmtId="165" fontId="24" fillId="0" borderId="0" xfId="0" applyNumberFormat="1" applyFont="1"/>
    <xf numFmtId="0" fontId="8" fillId="0" borderId="0" xfId="0" applyFont="1" applyFill="1" applyBorder="1" applyAlignment="1">
      <alignment horizontal="left" vertical="center" wrapText="1"/>
    </xf>
    <xf numFmtId="165" fontId="7" fillId="0" borderId="0" xfId="0" applyNumberFormat="1" applyFont="1" applyFill="1" applyBorder="1" applyAlignment="1">
      <alignment vertical="center"/>
    </xf>
    <xf numFmtId="0" fontId="24" fillId="0" borderId="0" xfId="0" applyFont="1" applyFill="1"/>
    <xf numFmtId="0" fontId="24" fillId="0" borderId="0" xfId="0" applyFont="1" applyAlignment="1">
      <alignment wrapText="1"/>
    </xf>
    <xf numFmtId="0" fontId="25" fillId="0" borderId="0" xfId="0" applyFont="1" applyAlignment="1">
      <alignment wrapText="1"/>
    </xf>
    <xf numFmtId="0" fontId="23" fillId="0" borderId="0" xfId="0" applyFont="1" applyBorder="1" applyAlignment="1">
      <alignment vertical="center" wrapText="1"/>
    </xf>
    <xf numFmtId="0" fontId="3" fillId="0" borderId="0" xfId="0" applyFont="1" applyFill="1" applyBorder="1" applyAlignment="1">
      <alignment horizontal="left" vertical="center" wrapText="1"/>
    </xf>
    <xf numFmtId="0" fontId="8" fillId="4" borderId="5" xfId="0" applyFont="1" applyFill="1" applyBorder="1" applyAlignment="1">
      <alignment horizontal="left" vertical="center" wrapText="1"/>
    </xf>
    <xf numFmtId="0" fontId="0" fillId="0" borderId="7" xfId="0" applyFill="1" applyBorder="1"/>
    <xf numFmtId="44" fontId="15" fillId="0" borderId="0" xfId="2" applyFont="1" applyFill="1" applyBorder="1" applyAlignment="1">
      <alignment vertical="center"/>
    </xf>
    <xf numFmtId="0" fontId="0" fillId="3" borderId="0" xfId="0" applyFill="1" applyBorder="1"/>
    <xf numFmtId="0" fontId="0" fillId="0" borderId="0" xfId="0" applyFill="1" applyBorder="1"/>
    <xf numFmtId="0" fontId="4" fillId="2" borderId="2" xfId="0" applyFont="1" applyFill="1" applyBorder="1" applyAlignment="1">
      <alignment horizontal="center"/>
    </xf>
    <xf numFmtId="44" fontId="15" fillId="0" borderId="7" xfId="2" applyFont="1" applyFill="1" applyBorder="1" applyAlignment="1">
      <alignment vertical="center"/>
    </xf>
    <xf numFmtId="164" fontId="2" fillId="0" borderId="0" xfId="0" applyNumberFormat="1" applyFont="1" applyFill="1" applyBorder="1" applyAlignment="1">
      <alignment vertical="center"/>
    </xf>
    <xf numFmtId="0" fontId="8" fillId="0" borderId="3" xfId="0" applyFont="1" applyFill="1" applyBorder="1" applyAlignment="1">
      <alignment horizontal="left" vertical="center" wrapText="1"/>
    </xf>
    <xf numFmtId="164" fontId="2" fillId="0" borderId="7" xfId="0" applyNumberFormat="1" applyFont="1" applyFill="1" applyBorder="1" applyAlignment="1">
      <alignment vertical="center"/>
    </xf>
    <xf numFmtId="0" fontId="2" fillId="0" borderId="3" xfId="0" applyFont="1" applyFill="1" applyBorder="1" applyAlignment="1">
      <alignment horizontal="left" vertical="center" wrapText="1"/>
    </xf>
    <xf numFmtId="1" fontId="15" fillId="0" borderId="0" xfId="2" applyNumberFormat="1" applyFont="1" applyFill="1" applyBorder="1" applyAlignment="1">
      <alignment vertical="center"/>
    </xf>
    <xf numFmtId="1" fontId="2" fillId="0" borderId="0" xfId="2" applyNumberFormat="1" applyFont="1" applyFill="1" applyBorder="1" applyAlignment="1">
      <alignment vertical="center"/>
    </xf>
    <xf numFmtId="1" fontId="2" fillId="0" borderId="7" xfId="2" applyNumberFormat="1" applyFont="1" applyFill="1" applyBorder="1" applyAlignment="1">
      <alignment vertical="center"/>
    </xf>
    <xf numFmtId="165" fontId="15" fillId="0" borderId="0" xfId="2" applyNumberFormat="1" applyFont="1" applyBorder="1" applyAlignment="1">
      <alignment vertical="center"/>
    </xf>
    <xf numFmtId="165" fontId="0" fillId="0" borderId="0" xfId="2" applyNumberFormat="1" applyFont="1" applyBorder="1"/>
    <xf numFmtId="165" fontId="0" fillId="0" borderId="7" xfId="2" applyNumberFormat="1" applyFont="1" applyBorder="1"/>
    <xf numFmtId="0" fontId="8" fillId="0" borderId="3" xfId="0" applyFont="1" applyBorder="1" applyAlignment="1">
      <alignment horizontal="left" vertical="center" wrapText="1"/>
    </xf>
    <xf numFmtId="9" fontId="15" fillId="0" borderId="0" xfId="4" applyFont="1" applyFill="1" applyBorder="1" applyAlignment="1">
      <alignment vertical="center"/>
    </xf>
    <xf numFmtId="0" fontId="2" fillId="0" borderId="3" xfId="0" applyFont="1" applyFill="1" applyBorder="1" applyAlignment="1">
      <alignment horizontal="left" vertical="center" wrapText="1" indent="1"/>
    </xf>
    <xf numFmtId="9" fontId="15" fillId="0" borderId="7" xfId="4" applyFont="1" applyFill="1" applyBorder="1" applyAlignment="1">
      <alignment vertical="center"/>
    </xf>
    <xf numFmtId="0" fontId="24" fillId="0" borderId="0" xfId="0" applyFont="1" applyFill="1" applyBorder="1"/>
    <xf numFmtId="0" fontId="2" fillId="0" borderId="3" xfId="0" applyFont="1" applyBorder="1" applyAlignment="1">
      <alignment horizontal="left" vertical="center" indent="1"/>
    </xf>
    <xf numFmtId="0" fontId="26" fillId="0" borderId="3" xfId="0" applyFont="1" applyFill="1" applyBorder="1" applyAlignment="1">
      <alignment horizontal="left" vertical="center"/>
    </xf>
    <xf numFmtId="0" fontId="6" fillId="0" borderId="3" xfId="0" applyFont="1" applyBorder="1" applyAlignment="1">
      <alignment horizontal="left" vertical="center" wrapText="1"/>
    </xf>
    <xf numFmtId="165" fontId="2" fillId="0" borderId="0" xfId="0" applyNumberFormat="1" applyFont="1" applyFill="1" applyBorder="1" applyAlignment="1">
      <alignment horizontal="left" vertical="center" wrapText="1"/>
    </xf>
    <xf numFmtId="165" fontId="2" fillId="0" borderId="7" xfId="0" applyNumberFormat="1" applyFont="1" applyFill="1" applyBorder="1" applyAlignment="1">
      <alignment horizontal="left" vertical="center" wrapText="1"/>
    </xf>
    <xf numFmtId="0" fontId="7" fillId="0" borderId="0" xfId="0" applyFont="1" applyBorder="1" applyAlignment="1">
      <alignment horizontal="left" vertical="center"/>
    </xf>
    <xf numFmtId="1" fontId="2" fillId="0" borderId="0" xfId="0" applyNumberFormat="1" applyFont="1" applyBorder="1" applyAlignment="1">
      <alignment vertical="center"/>
    </xf>
    <xf numFmtId="1" fontId="2" fillId="0" borderId="7" xfId="0" applyNumberFormat="1" applyFont="1" applyBorder="1" applyAlignment="1">
      <alignment vertical="center"/>
    </xf>
    <xf numFmtId="0" fontId="8" fillId="0" borderId="0" xfId="0" applyFont="1" applyFill="1" applyBorder="1" applyAlignment="1">
      <alignment horizontal="left" vertical="center"/>
    </xf>
    <xf numFmtId="0" fontId="7" fillId="0" borderId="0" xfId="0" applyFont="1" applyBorder="1" applyAlignment="1">
      <alignment horizontal="left" vertical="center" wrapText="1"/>
    </xf>
    <xf numFmtId="0" fontId="27" fillId="0" borderId="0" xfId="0" applyFont="1" applyAlignment="1">
      <alignment vertical="center"/>
    </xf>
    <xf numFmtId="165" fontId="24" fillId="0" borderId="0" xfId="0" applyNumberFormat="1" applyFont="1" applyBorder="1"/>
    <xf numFmtId="14" fontId="16" fillId="5" borderId="0" xfId="3" quotePrefix="1" applyNumberFormat="1" applyFont="1" applyFill="1"/>
    <xf numFmtId="0" fontId="29" fillId="6" borderId="0" xfId="5" applyFont="1" applyFill="1"/>
    <xf numFmtId="0" fontId="31" fillId="6" borderId="0" xfId="6" applyFont="1" applyFill="1"/>
    <xf numFmtId="0" fontId="31" fillId="7" borderId="0" xfId="6" applyFont="1" applyFill="1"/>
    <xf numFmtId="0" fontId="30" fillId="7" borderId="0" xfId="6" applyFill="1"/>
    <xf numFmtId="0" fontId="30" fillId="6" borderId="0" xfId="6" applyFill="1"/>
    <xf numFmtId="0" fontId="33" fillId="6" borderId="0" xfId="6" applyFont="1" applyFill="1"/>
    <xf numFmtId="0" fontId="34" fillId="6" borderId="0" xfId="6" applyFont="1" applyFill="1"/>
    <xf numFmtId="0" fontId="31" fillId="6" borderId="0" xfId="6" applyFont="1" applyFill="1" applyAlignment="1">
      <alignment wrapText="1"/>
    </xf>
    <xf numFmtId="0" fontId="31" fillId="7" borderId="0" xfId="6" applyFont="1" applyFill="1" applyAlignment="1">
      <alignment wrapText="1"/>
    </xf>
    <xf numFmtId="0" fontId="13" fillId="5" borderId="0" xfId="3" applyFont="1" applyFill="1" applyBorder="1"/>
    <xf numFmtId="0" fontId="13" fillId="5" borderId="9" xfId="3" applyFont="1" applyFill="1" applyBorder="1"/>
    <xf numFmtId="0" fontId="10" fillId="5" borderId="9" xfId="3" applyFont="1" applyFill="1" applyBorder="1"/>
    <xf numFmtId="14" fontId="18" fillId="5" borderId="0" xfId="3" applyNumberFormat="1" applyFont="1" applyFill="1" applyAlignment="1">
      <alignment horizontal="left" vertical="center" wrapText="1"/>
    </xf>
    <xf numFmtId="0" fontId="36" fillId="6" borderId="0" xfId="3" applyFont="1" applyFill="1" applyBorder="1"/>
    <xf numFmtId="0" fontId="12" fillId="6" borderId="0" xfId="3" applyFill="1"/>
    <xf numFmtId="0" fontId="5" fillId="6" borderId="0" xfId="3" applyFont="1" applyFill="1" applyBorder="1"/>
    <xf numFmtId="0" fontId="35" fillId="6" borderId="0" xfId="3" applyFont="1" applyFill="1" applyAlignment="1">
      <alignment horizontal="center" vertical="center"/>
    </xf>
    <xf numFmtId="0" fontId="12" fillId="7" borderId="0" xfId="3" applyFill="1"/>
    <xf numFmtId="0" fontId="13" fillId="8" borderId="0" xfId="3" applyFont="1" applyFill="1"/>
    <xf numFmtId="14" fontId="35" fillId="5" borderId="0" xfId="3" applyNumberFormat="1" applyFont="1" applyFill="1" applyAlignment="1">
      <alignment horizontal="left" vertical="center" wrapText="1"/>
    </xf>
    <xf numFmtId="0" fontId="5" fillId="6" borderId="0" xfId="3" applyFont="1" applyFill="1" applyBorder="1" applyAlignment="1">
      <alignment horizontal="left" vertical="center" wrapText="1"/>
    </xf>
    <xf numFmtId="0" fontId="32" fillId="6" borderId="0" xfId="5" applyFont="1" applyFill="1" applyAlignment="1">
      <alignment horizontal="left" vertical="center" wrapText="1"/>
    </xf>
    <xf numFmtId="0" fontId="10" fillId="6" borderId="0" xfId="6" applyFont="1" applyFill="1" applyAlignment="1">
      <alignment horizontal="left" vertical="center"/>
    </xf>
  </cellXfs>
  <cellStyles count="7">
    <cellStyle name="Comma" xfId="1" builtinId="3"/>
    <cellStyle name="Currency" xfId="2" builtinId="4"/>
    <cellStyle name="Hyperlink 2" xfId="5" xr:uid="{0EC090FE-54CA-499E-BA83-A42030BC26EC}"/>
    <cellStyle name="Normal" xfId="0" builtinId="0"/>
    <cellStyle name="Normal 2" xfId="3" xr:uid="{9C50ED57-C2F4-43C8-ABD1-E0D58663F1A3}"/>
    <cellStyle name="Normal 3" xfId="6" xr:uid="{0A780D3D-E62D-4FD6-AB80-1D8E58A3F4A8}"/>
    <cellStyle name="Percent" xfId="4" builtinId="5"/>
  </cellStyles>
  <dxfs count="0"/>
  <tableStyles count="0" defaultTableStyle="TableStyleMedium2" defaultPivotStyle="PivotStyleLight16"/>
  <colors>
    <mruColors>
      <color rgb="FFFF9999"/>
      <color rgb="FFD0A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6349</xdr:colOff>
      <xdr:row>0</xdr:row>
      <xdr:rowOff>0</xdr:rowOff>
    </xdr:from>
    <xdr:ext cx="8709025" cy="2714625"/>
    <xdr:pic>
      <xdr:nvPicPr>
        <xdr:cNvPr id="2" name="image1.jpg">
          <a:extLst>
            <a:ext uri="{FF2B5EF4-FFF2-40B4-BE49-F238E27FC236}">
              <a16:creationId xmlns:a16="http://schemas.microsoft.com/office/drawing/2014/main" id="{DDBFD8C1-C3B6-4B53-BE1C-1251820800F2}"/>
            </a:ext>
          </a:extLst>
        </xdr:cNvPr>
        <xdr:cNvPicPr preferRelativeResize="0"/>
      </xdr:nvPicPr>
      <xdr:blipFill>
        <a:blip xmlns:r="http://schemas.openxmlformats.org/officeDocument/2006/relationships" r:embed="rId1" cstate="print"/>
        <a:stretch>
          <a:fillRect/>
        </a:stretch>
      </xdr:blipFill>
      <xdr:spPr>
        <a:xfrm>
          <a:off x="6349" y="0"/>
          <a:ext cx="8709025" cy="27146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583406</xdr:colOff>
      <xdr:row>2</xdr:row>
      <xdr:rowOff>104776</xdr:rowOff>
    </xdr:from>
    <xdr:ext cx="7950823" cy="6057900"/>
    <xdr:pic>
      <xdr:nvPicPr>
        <xdr:cNvPr id="2" name="Picture 1" descr="CSB Methodology Graphic">
          <a:extLst>
            <a:ext uri="{FF2B5EF4-FFF2-40B4-BE49-F238E27FC236}">
              <a16:creationId xmlns:a16="http://schemas.microsoft.com/office/drawing/2014/main" id="{9FA1E89B-7EBD-40A2-A4CA-78ADDC6D2BD2}"/>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3406" y="1724026"/>
          <a:ext cx="7950823" cy="60579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482601</xdr:colOff>
      <xdr:row>13</xdr:row>
      <xdr:rowOff>3771900</xdr:rowOff>
    </xdr:from>
    <xdr:ext cx="4887954" cy="799437"/>
    <xdr:pic>
      <xdr:nvPicPr>
        <xdr:cNvPr id="3" name="Picture 2">
          <a:extLst>
            <a:ext uri="{FF2B5EF4-FFF2-40B4-BE49-F238E27FC236}">
              <a16:creationId xmlns:a16="http://schemas.microsoft.com/office/drawing/2014/main" id="{5FFD9010-19BE-4CC5-9802-1B8675C80F2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143001" y="7962900"/>
          <a:ext cx="4887954" cy="79943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stern.nyu.edu/experience-stern/about/departments-centers-initiatives/centers-of-research/center-sustainable-business/research/return-sustainability-investment-ros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21E2C-95D4-47DA-859A-22615A7C8A88}">
  <sheetPr>
    <tabColor rgb="FF7030A0"/>
    <pageSetUpPr fitToPage="1"/>
  </sheetPr>
  <dimension ref="A1:Z998"/>
  <sheetViews>
    <sheetView tabSelected="1" zoomScaleNormal="100" workbookViewId="0"/>
  </sheetViews>
  <sheetFormatPr defaultColWidth="13.81640625" defaultRowHeight="15" customHeight="1" x14ac:dyDescent="0.3"/>
  <cols>
    <col min="1" max="1" width="5.453125" style="152" customWidth="1"/>
    <col min="2" max="2" width="3.81640625" style="152" customWidth="1"/>
    <col min="3" max="7" width="8.453125" style="152" customWidth="1"/>
    <col min="8" max="8" width="23.6328125" style="152" customWidth="1"/>
    <col min="9" max="26" width="8.453125" style="152" customWidth="1"/>
    <col min="27" max="16384" width="13.81640625" style="152"/>
  </cols>
  <sheetData>
    <row r="1" spans="1:26" ht="14.5" x14ac:dyDescent="0.35">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14.5" x14ac:dyDescent="0.35">
      <c r="A2" s="33"/>
      <c r="B2" s="33"/>
      <c r="C2" s="33"/>
      <c r="D2" s="33"/>
      <c r="E2" s="33"/>
      <c r="F2" s="33"/>
      <c r="G2" s="33"/>
      <c r="H2" s="33"/>
      <c r="I2" s="33"/>
      <c r="J2" s="33"/>
      <c r="K2" s="33"/>
      <c r="L2" s="33"/>
      <c r="M2" s="33"/>
      <c r="N2" s="33"/>
      <c r="O2" s="33"/>
      <c r="P2" s="33"/>
      <c r="Q2" s="33"/>
      <c r="R2" s="33"/>
      <c r="S2" s="33"/>
      <c r="T2" s="33"/>
      <c r="U2" s="33"/>
      <c r="V2" s="33"/>
      <c r="W2" s="33"/>
      <c r="X2" s="33"/>
      <c r="Y2" s="33"/>
      <c r="Z2" s="33"/>
    </row>
    <row r="3" spans="1:26" ht="14.5" x14ac:dyDescent="0.35">
      <c r="A3" s="33"/>
      <c r="B3" s="33"/>
      <c r="C3" s="33"/>
      <c r="D3" s="33"/>
      <c r="E3" s="33"/>
      <c r="F3" s="33"/>
      <c r="G3" s="33"/>
      <c r="H3" s="33"/>
      <c r="I3" s="33"/>
      <c r="J3" s="33"/>
      <c r="K3" s="33"/>
      <c r="L3" s="33"/>
      <c r="M3" s="33"/>
      <c r="N3" s="33"/>
      <c r="O3" s="33"/>
      <c r="P3" s="33"/>
      <c r="Q3" s="33"/>
      <c r="R3" s="33"/>
      <c r="S3" s="33"/>
      <c r="T3" s="33"/>
      <c r="U3" s="33"/>
      <c r="V3" s="33"/>
      <c r="W3" s="33"/>
      <c r="X3" s="33"/>
      <c r="Y3" s="33"/>
      <c r="Z3" s="33"/>
    </row>
    <row r="4" spans="1:26" ht="14.5" x14ac:dyDescent="0.35">
      <c r="A4" s="33"/>
      <c r="B4" s="33"/>
      <c r="C4" s="33"/>
      <c r="D4" s="33"/>
      <c r="E4" s="33"/>
      <c r="F4" s="33"/>
      <c r="G4" s="33"/>
      <c r="H4" s="33"/>
      <c r="I4" s="33"/>
      <c r="J4" s="33"/>
      <c r="K4" s="33"/>
      <c r="L4" s="33"/>
      <c r="M4" s="33"/>
      <c r="N4" s="33"/>
      <c r="O4" s="33"/>
      <c r="P4" s="33"/>
      <c r="Q4" s="33"/>
      <c r="R4" s="33"/>
      <c r="S4" s="33"/>
      <c r="T4" s="33"/>
      <c r="U4" s="33"/>
      <c r="V4" s="33"/>
      <c r="W4" s="33"/>
      <c r="X4" s="33"/>
      <c r="Y4" s="33"/>
      <c r="Z4" s="33"/>
    </row>
    <row r="5" spans="1:26" ht="14.5" x14ac:dyDescent="0.35">
      <c r="A5" s="33"/>
      <c r="B5" s="33"/>
      <c r="C5" s="33"/>
      <c r="D5" s="33"/>
      <c r="E5" s="33"/>
      <c r="F5" s="33"/>
      <c r="G5" s="33"/>
      <c r="H5" s="33"/>
      <c r="I5" s="33"/>
      <c r="J5" s="33"/>
      <c r="K5" s="33"/>
      <c r="L5" s="33"/>
      <c r="M5" s="33"/>
      <c r="N5" s="33"/>
      <c r="O5" s="33"/>
      <c r="P5" s="33"/>
      <c r="Q5" s="33"/>
      <c r="R5" s="33"/>
      <c r="S5" s="33"/>
      <c r="T5" s="33"/>
      <c r="U5" s="33"/>
      <c r="V5" s="33"/>
      <c r="W5" s="33"/>
      <c r="X5" s="33"/>
      <c r="Y5" s="33"/>
      <c r="Z5" s="33"/>
    </row>
    <row r="6" spans="1:26" ht="14.5" x14ac:dyDescent="0.35">
      <c r="A6" s="33"/>
      <c r="B6" s="33"/>
      <c r="C6" s="33"/>
      <c r="D6" s="33"/>
      <c r="E6" s="33"/>
      <c r="F6" s="33"/>
      <c r="G6" s="33"/>
      <c r="H6" s="33"/>
      <c r="I6" s="33"/>
      <c r="J6" s="33"/>
      <c r="K6" s="33"/>
      <c r="L6" s="33"/>
      <c r="M6" s="33"/>
      <c r="N6" s="33"/>
      <c r="O6" s="33"/>
      <c r="P6" s="33"/>
      <c r="Q6" s="33"/>
      <c r="R6" s="33"/>
      <c r="S6" s="33"/>
      <c r="T6" s="33"/>
      <c r="U6" s="33"/>
      <c r="V6" s="33"/>
      <c r="W6" s="33"/>
      <c r="X6" s="33"/>
      <c r="Y6" s="33"/>
      <c r="Z6" s="33"/>
    </row>
    <row r="7" spans="1:26" ht="14.5" x14ac:dyDescent="0.35">
      <c r="A7" s="33"/>
      <c r="B7" s="33"/>
      <c r="C7" s="33"/>
      <c r="D7" s="33"/>
      <c r="E7" s="33"/>
      <c r="F7" s="33"/>
      <c r="G7" s="33"/>
      <c r="H7" s="33"/>
      <c r="I7" s="33"/>
      <c r="J7" s="33"/>
      <c r="K7" s="33"/>
      <c r="L7" s="33"/>
      <c r="M7" s="33"/>
      <c r="N7" s="33"/>
      <c r="O7" s="33"/>
      <c r="P7" s="33"/>
      <c r="Q7" s="33"/>
      <c r="R7" s="33"/>
      <c r="S7" s="33"/>
      <c r="T7" s="33"/>
      <c r="U7" s="33"/>
      <c r="V7" s="33"/>
      <c r="W7" s="33"/>
      <c r="X7" s="33"/>
      <c r="Y7" s="33"/>
      <c r="Z7" s="33"/>
    </row>
    <row r="8" spans="1:26" ht="14.5" x14ac:dyDescent="0.35">
      <c r="A8" s="33"/>
      <c r="B8" s="33"/>
      <c r="C8" s="33"/>
      <c r="D8" s="33"/>
      <c r="E8" s="33"/>
      <c r="F8" s="33"/>
      <c r="G8" s="33"/>
      <c r="H8" s="33"/>
      <c r="I8" s="33"/>
      <c r="J8" s="33"/>
      <c r="K8" s="33"/>
      <c r="L8" s="33"/>
      <c r="M8" s="33"/>
      <c r="N8" s="33"/>
      <c r="O8" s="33"/>
      <c r="P8" s="33"/>
      <c r="Q8" s="33"/>
      <c r="R8" s="33"/>
      <c r="S8" s="33"/>
      <c r="T8" s="33"/>
      <c r="U8" s="33"/>
      <c r="V8" s="33"/>
      <c r="W8" s="33"/>
      <c r="X8" s="33"/>
      <c r="Y8" s="33"/>
      <c r="Z8" s="33"/>
    </row>
    <row r="9" spans="1:26" ht="14.5" x14ac:dyDescent="0.35">
      <c r="A9" s="33"/>
      <c r="B9" s="33"/>
      <c r="C9" s="33"/>
      <c r="D9" s="33"/>
      <c r="E9" s="33"/>
      <c r="F9" s="33"/>
      <c r="G9" s="33"/>
      <c r="H9" s="33"/>
      <c r="I9" s="33"/>
      <c r="J9" s="33"/>
      <c r="K9" s="33"/>
      <c r="L9" s="33"/>
      <c r="M9" s="33"/>
      <c r="N9" s="33"/>
      <c r="O9" s="33"/>
      <c r="P9" s="33"/>
      <c r="Q9" s="33"/>
      <c r="R9" s="33"/>
      <c r="S9" s="33"/>
      <c r="T9" s="33"/>
      <c r="U9" s="33"/>
      <c r="V9" s="33"/>
      <c r="W9" s="33"/>
      <c r="X9" s="33"/>
      <c r="Y9" s="33"/>
      <c r="Z9" s="33"/>
    </row>
    <row r="10" spans="1:26" ht="14.5" x14ac:dyDescent="0.35">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ht="14.5" x14ac:dyDescent="0.3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6" ht="14.5" x14ac:dyDescent="0.3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row>
    <row r="13" spans="1:26" ht="14.5" x14ac:dyDescent="0.3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row>
    <row r="14" spans="1:26" ht="14.5" x14ac:dyDescent="0.3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ht="14.5" x14ac:dyDescent="0.3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row>
    <row r="16" spans="1:26" ht="23" x14ac:dyDescent="0.5">
      <c r="A16" s="145"/>
      <c r="B16" s="146" t="s">
        <v>25</v>
      </c>
      <c r="C16" s="145"/>
      <c r="D16" s="145"/>
      <c r="E16" s="145"/>
      <c r="F16" s="145"/>
      <c r="G16" s="145"/>
      <c r="H16" s="145"/>
      <c r="I16" s="145"/>
      <c r="J16" s="145"/>
      <c r="K16" s="145"/>
      <c r="L16" s="145"/>
      <c r="M16" s="145"/>
      <c r="N16" s="145"/>
      <c r="O16" s="145"/>
      <c r="P16" s="33"/>
      <c r="Q16" s="33"/>
      <c r="R16" s="33"/>
      <c r="S16" s="33"/>
      <c r="T16" s="33"/>
      <c r="U16" s="33"/>
      <c r="V16" s="33"/>
      <c r="W16" s="33"/>
      <c r="X16" s="33"/>
      <c r="Y16" s="33"/>
      <c r="Z16" s="33"/>
    </row>
    <row r="17" spans="1:26" ht="14.5" x14ac:dyDescent="0.35">
      <c r="A17" s="144"/>
      <c r="B17" s="144"/>
      <c r="C17" s="144"/>
      <c r="D17" s="144"/>
      <c r="E17" s="144"/>
      <c r="F17" s="144"/>
      <c r="G17" s="144"/>
      <c r="H17" s="144"/>
      <c r="I17" s="144"/>
      <c r="J17" s="144"/>
      <c r="K17" s="144"/>
      <c r="L17" s="144"/>
      <c r="M17" s="33"/>
      <c r="N17" s="33"/>
      <c r="O17" s="33"/>
      <c r="P17" s="33"/>
      <c r="Q17" s="33"/>
      <c r="R17" s="33"/>
      <c r="S17" s="33"/>
      <c r="T17" s="33"/>
      <c r="U17" s="33"/>
      <c r="V17" s="33"/>
      <c r="W17" s="33"/>
      <c r="X17" s="33"/>
      <c r="Y17" s="33"/>
      <c r="Z17" s="33"/>
    </row>
    <row r="18" spans="1:26" ht="23" x14ac:dyDescent="0.5">
      <c r="A18" s="33"/>
      <c r="B18" s="34" t="s">
        <v>203</v>
      </c>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ht="20" x14ac:dyDescent="0.4">
      <c r="A19" s="33"/>
      <c r="B19" s="134" t="s">
        <v>202</v>
      </c>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ht="14.5" x14ac:dyDescent="0.3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ht="104.5" customHeight="1" x14ac:dyDescent="0.35">
      <c r="A21" s="33"/>
      <c r="B21" s="154" t="s">
        <v>247</v>
      </c>
      <c r="C21" s="154"/>
      <c r="D21" s="154"/>
      <c r="E21" s="154"/>
      <c r="F21" s="154"/>
      <c r="G21" s="154"/>
      <c r="H21" s="154"/>
      <c r="I21" s="154"/>
      <c r="J21" s="154"/>
      <c r="K21" s="154"/>
      <c r="L21" s="154"/>
      <c r="M21" s="154"/>
      <c r="N21" s="154"/>
      <c r="O21" s="154"/>
      <c r="P21" s="33"/>
      <c r="Q21" s="33"/>
      <c r="R21" s="33"/>
      <c r="S21" s="33"/>
      <c r="T21" s="33"/>
      <c r="U21" s="33"/>
      <c r="V21" s="33"/>
      <c r="W21" s="33"/>
      <c r="X21" s="33"/>
      <c r="Y21" s="33"/>
      <c r="Z21" s="33"/>
    </row>
    <row r="22" spans="1:26" ht="15.5" customHeight="1" x14ac:dyDescent="0.35">
      <c r="A22" s="33"/>
      <c r="B22" s="147"/>
      <c r="C22" s="147"/>
      <c r="D22" s="147"/>
      <c r="E22" s="147"/>
      <c r="F22" s="147"/>
      <c r="G22" s="147"/>
      <c r="H22" s="147"/>
      <c r="I22" s="147"/>
      <c r="J22" s="147"/>
      <c r="K22" s="147"/>
      <c r="L22" s="147"/>
      <c r="M22" s="147"/>
      <c r="N22" s="147"/>
      <c r="O22" s="147"/>
      <c r="P22" s="33"/>
      <c r="Q22" s="33"/>
      <c r="R22" s="33"/>
      <c r="S22" s="33"/>
      <c r="T22" s="33"/>
      <c r="U22" s="33"/>
      <c r="V22" s="33"/>
      <c r="W22" s="33"/>
      <c r="X22" s="33"/>
      <c r="Y22" s="33"/>
      <c r="Z22" s="33"/>
    </row>
    <row r="23" spans="1:26" ht="15.75" customHeight="1" x14ac:dyDescent="0.4">
      <c r="A23" s="33"/>
      <c r="B23" s="148" t="s">
        <v>212</v>
      </c>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ht="6.5" customHeight="1" x14ac:dyDescent="0.4">
      <c r="A24" s="33"/>
      <c r="B24" s="148"/>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15.5" customHeight="1" x14ac:dyDescent="0.35">
      <c r="A25" s="33"/>
      <c r="B25" s="149"/>
      <c r="C25" s="150" t="s">
        <v>213</v>
      </c>
      <c r="D25" s="144"/>
      <c r="E25" s="144"/>
      <c r="F25" s="144"/>
      <c r="G25" s="144"/>
      <c r="H25" s="144"/>
      <c r="I25" s="33"/>
      <c r="J25" s="33"/>
      <c r="K25" s="33"/>
      <c r="L25" s="33"/>
      <c r="M25" s="33"/>
      <c r="N25" s="33"/>
      <c r="O25" s="33"/>
      <c r="P25" s="33"/>
      <c r="Q25" s="33"/>
      <c r="R25" s="33"/>
      <c r="S25" s="33"/>
      <c r="T25" s="33"/>
      <c r="U25" s="33"/>
      <c r="V25" s="33"/>
      <c r="W25" s="33"/>
      <c r="X25" s="33"/>
      <c r="Y25" s="33"/>
      <c r="Z25" s="33"/>
    </row>
    <row r="26" spans="1:26" ht="63.5" customHeight="1" x14ac:dyDescent="0.35">
      <c r="A26" s="33"/>
      <c r="B26" s="151">
        <v>1</v>
      </c>
      <c r="C26" s="155" t="s">
        <v>220</v>
      </c>
      <c r="D26" s="155"/>
      <c r="E26" s="155"/>
      <c r="F26" s="155"/>
      <c r="G26" s="155"/>
      <c r="H26" s="155"/>
      <c r="I26" s="33"/>
      <c r="J26" s="33"/>
      <c r="K26" s="33"/>
      <c r="L26" s="33"/>
      <c r="M26" s="33"/>
      <c r="N26" s="33"/>
      <c r="O26" s="33"/>
      <c r="P26" s="33"/>
      <c r="Q26" s="33"/>
      <c r="R26" s="33"/>
      <c r="S26" s="33"/>
      <c r="T26" s="33"/>
      <c r="U26" s="33"/>
      <c r="V26" s="33"/>
      <c r="W26" s="33"/>
      <c r="X26" s="33"/>
      <c r="Y26" s="33"/>
      <c r="Z26" s="33"/>
    </row>
    <row r="27" spans="1:26" ht="62" customHeight="1" x14ac:dyDescent="0.35">
      <c r="A27" s="33"/>
      <c r="B27" s="151">
        <f>B26+1</f>
        <v>2</v>
      </c>
      <c r="C27" s="155" t="s">
        <v>221</v>
      </c>
      <c r="D27" s="155"/>
      <c r="E27" s="155"/>
      <c r="F27" s="155"/>
      <c r="G27" s="155"/>
      <c r="H27" s="155"/>
      <c r="I27" s="33"/>
      <c r="J27" s="33"/>
      <c r="K27" s="33"/>
      <c r="L27" s="33"/>
      <c r="M27" s="33"/>
      <c r="N27" s="33"/>
      <c r="O27" s="33"/>
      <c r="P27" s="33"/>
      <c r="Q27" s="33"/>
      <c r="R27" s="33"/>
      <c r="S27" s="33"/>
      <c r="T27" s="33"/>
      <c r="U27" s="33"/>
      <c r="V27" s="33"/>
      <c r="W27" s="33"/>
      <c r="X27" s="33"/>
      <c r="Y27" s="33"/>
      <c r="Z27" s="33"/>
    </row>
    <row r="28" spans="1:26" ht="65.5" customHeight="1" x14ac:dyDescent="0.35">
      <c r="A28" s="33"/>
      <c r="B28" s="151">
        <f t="shared" ref="B28:B37" si="0">B27+1</f>
        <v>3</v>
      </c>
      <c r="C28" s="155" t="s">
        <v>222</v>
      </c>
      <c r="D28" s="155"/>
      <c r="E28" s="155"/>
      <c r="F28" s="155"/>
      <c r="G28" s="155"/>
      <c r="H28" s="155"/>
      <c r="I28" s="33"/>
      <c r="J28" s="33"/>
      <c r="K28" s="33"/>
      <c r="L28" s="33"/>
      <c r="M28" s="33"/>
      <c r="N28" s="33"/>
      <c r="O28" s="33"/>
      <c r="P28" s="33"/>
      <c r="Q28" s="33"/>
      <c r="R28" s="33"/>
      <c r="S28" s="33"/>
      <c r="T28" s="33"/>
      <c r="U28" s="33"/>
      <c r="V28" s="33"/>
      <c r="W28" s="33"/>
      <c r="X28" s="33"/>
      <c r="Y28" s="33"/>
      <c r="Z28" s="33"/>
    </row>
    <row r="29" spans="1:26" ht="70" customHeight="1" x14ac:dyDescent="0.35">
      <c r="A29" s="33"/>
      <c r="B29" s="151">
        <f t="shared" si="0"/>
        <v>4</v>
      </c>
      <c r="C29" s="155" t="s">
        <v>223</v>
      </c>
      <c r="D29" s="155"/>
      <c r="E29" s="155"/>
      <c r="F29" s="155"/>
      <c r="G29" s="155"/>
      <c r="H29" s="155"/>
      <c r="I29" s="33"/>
      <c r="J29" s="33"/>
      <c r="K29" s="33"/>
      <c r="L29" s="33"/>
      <c r="M29" s="33"/>
      <c r="N29" s="33"/>
      <c r="O29" s="33"/>
      <c r="P29" s="33"/>
      <c r="Q29" s="33"/>
      <c r="R29" s="33"/>
      <c r="S29" s="33"/>
      <c r="T29" s="33"/>
      <c r="U29" s="33"/>
      <c r="V29" s="33"/>
      <c r="W29" s="33"/>
      <c r="X29" s="33"/>
      <c r="Y29" s="33"/>
      <c r="Z29" s="33"/>
    </row>
    <row r="30" spans="1:26" ht="73" customHeight="1" x14ac:dyDescent="0.35">
      <c r="A30" s="33"/>
      <c r="B30" s="151">
        <f t="shared" si="0"/>
        <v>5</v>
      </c>
      <c r="C30" s="155" t="s">
        <v>224</v>
      </c>
      <c r="D30" s="155"/>
      <c r="E30" s="155"/>
      <c r="F30" s="155"/>
      <c r="G30" s="155"/>
      <c r="H30" s="155"/>
      <c r="I30" s="33"/>
      <c r="J30" s="33"/>
      <c r="K30" s="33"/>
      <c r="L30" s="33"/>
      <c r="M30" s="33"/>
      <c r="N30" s="33"/>
      <c r="O30" s="33"/>
      <c r="P30" s="33"/>
      <c r="Q30" s="33"/>
      <c r="R30" s="33"/>
      <c r="S30" s="33"/>
      <c r="T30" s="33"/>
      <c r="U30" s="33"/>
      <c r="V30" s="33"/>
      <c r="W30" s="33"/>
      <c r="X30" s="33"/>
      <c r="Y30" s="33"/>
      <c r="Z30" s="33"/>
    </row>
    <row r="31" spans="1:26" ht="55" customHeight="1" x14ac:dyDescent="0.35">
      <c r="A31" s="33"/>
      <c r="B31" s="151">
        <f t="shared" si="0"/>
        <v>6</v>
      </c>
      <c r="C31" s="155" t="s">
        <v>225</v>
      </c>
      <c r="D31" s="155"/>
      <c r="E31" s="155"/>
      <c r="F31" s="155"/>
      <c r="G31" s="155"/>
      <c r="H31" s="155"/>
      <c r="I31" s="33"/>
      <c r="J31" s="33"/>
      <c r="K31" s="33"/>
      <c r="L31" s="33"/>
      <c r="M31" s="33"/>
      <c r="N31" s="33"/>
      <c r="O31" s="33"/>
      <c r="P31" s="33"/>
      <c r="Q31" s="33"/>
      <c r="R31" s="33"/>
      <c r="S31" s="33"/>
      <c r="T31" s="33"/>
      <c r="U31" s="33"/>
      <c r="V31" s="33"/>
      <c r="W31" s="33"/>
      <c r="X31" s="33"/>
      <c r="Y31" s="33"/>
      <c r="Z31" s="33"/>
    </row>
    <row r="32" spans="1:26" ht="55" customHeight="1" x14ac:dyDescent="0.35">
      <c r="A32" s="33"/>
      <c r="B32" s="151">
        <f t="shared" si="0"/>
        <v>7</v>
      </c>
      <c r="C32" s="155" t="s">
        <v>226</v>
      </c>
      <c r="D32" s="155"/>
      <c r="E32" s="155"/>
      <c r="F32" s="155"/>
      <c r="G32" s="155"/>
      <c r="H32" s="155"/>
      <c r="I32" s="33"/>
      <c r="J32" s="33"/>
      <c r="K32" s="33"/>
      <c r="L32" s="33"/>
      <c r="M32" s="33"/>
      <c r="N32" s="33"/>
      <c r="O32" s="33"/>
      <c r="P32" s="33"/>
      <c r="Q32" s="33"/>
      <c r="R32" s="33"/>
      <c r="S32" s="33"/>
      <c r="T32" s="33"/>
      <c r="U32" s="33"/>
      <c r="V32" s="33"/>
      <c r="W32" s="33"/>
      <c r="X32" s="33"/>
      <c r="Y32" s="33"/>
      <c r="Z32" s="33"/>
    </row>
    <row r="33" spans="1:26" ht="55" customHeight="1" x14ac:dyDescent="0.35">
      <c r="A33" s="33"/>
      <c r="B33" s="151">
        <f t="shared" si="0"/>
        <v>8</v>
      </c>
      <c r="C33" s="155" t="s">
        <v>227</v>
      </c>
      <c r="D33" s="155"/>
      <c r="E33" s="155"/>
      <c r="F33" s="155"/>
      <c r="G33" s="155"/>
      <c r="H33" s="155"/>
      <c r="I33" s="33"/>
      <c r="J33" s="33"/>
      <c r="K33" s="33"/>
      <c r="L33" s="33"/>
      <c r="M33" s="33"/>
      <c r="N33" s="33"/>
      <c r="O33" s="33"/>
      <c r="P33" s="33"/>
      <c r="Q33" s="33"/>
      <c r="R33" s="33"/>
      <c r="S33" s="33"/>
      <c r="T33" s="33"/>
      <c r="U33" s="33"/>
      <c r="V33" s="33"/>
      <c r="W33" s="33"/>
      <c r="X33" s="33"/>
      <c r="Y33" s="33"/>
      <c r="Z33" s="33"/>
    </row>
    <row r="34" spans="1:26" ht="55" customHeight="1" x14ac:dyDescent="0.35">
      <c r="A34" s="33"/>
      <c r="B34" s="151">
        <f t="shared" si="0"/>
        <v>9</v>
      </c>
      <c r="C34" s="155" t="s">
        <v>228</v>
      </c>
      <c r="D34" s="155"/>
      <c r="E34" s="155"/>
      <c r="F34" s="155"/>
      <c r="G34" s="155"/>
      <c r="H34" s="155"/>
      <c r="I34" s="33"/>
      <c r="J34" s="33"/>
      <c r="K34" s="33"/>
      <c r="L34" s="33"/>
      <c r="M34" s="33"/>
      <c r="N34" s="33"/>
      <c r="O34" s="33"/>
      <c r="P34" s="33"/>
      <c r="Q34" s="33"/>
      <c r="R34" s="33"/>
      <c r="S34" s="33"/>
      <c r="T34" s="33"/>
      <c r="U34" s="33"/>
      <c r="V34" s="33"/>
      <c r="W34" s="33"/>
      <c r="X34" s="33"/>
      <c r="Y34" s="33"/>
      <c r="Z34" s="33"/>
    </row>
    <row r="35" spans="1:26" ht="50.5" customHeight="1" x14ac:dyDescent="0.35">
      <c r="A35" s="33"/>
      <c r="B35" s="151">
        <f t="shared" si="0"/>
        <v>10</v>
      </c>
      <c r="C35" s="155" t="s">
        <v>229</v>
      </c>
      <c r="D35" s="155"/>
      <c r="E35" s="155"/>
      <c r="F35" s="155"/>
      <c r="G35" s="155"/>
      <c r="H35" s="155"/>
      <c r="I35" s="33"/>
      <c r="J35" s="33"/>
      <c r="K35" s="33"/>
      <c r="L35" s="33"/>
      <c r="M35" s="33"/>
      <c r="N35" s="33"/>
      <c r="O35" s="33"/>
      <c r="P35" s="33"/>
      <c r="Q35" s="33"/>
      <c r="R35" s="33"/>
      <c r="S35" s="33"/>
      <c r="T35" s="33"/>
      <c r="U35" s="33"/>
      <c r="V35" s="33"/>
      <c r="W35" s="33"/>
      <c r="X35" s="33"/>
      <c r="Y35" s="33"/>
      <c r="Z35" s="33"/>
    </row>
    <row r="36" spans="1:26" ht="50.5" customHeight="1" x14ac:dyDescent="0.35">
      <c r="A36" s="33"/>
      <c r="B36" s="151">
        <f t="shared" si="0"/>
        <v>11</v>
      </c>
      <c r="C36" s="155" t="s">
        <v>230</v>
      </c>
      <c r="D36" s="155"/>
      <c r="E36" s="155"/>
      <c r="F36" s="155"/>
      <c r="G36" s="155"/>
      <c r="H36" s="155"/>
      <c r="I36" s="33"/>
      <c r="J36" s="33"/>
      <c r="K36" s="33"/>
      <c r="L36" s="33"/>
      <c r="M36" s="33"/>
      <c r="N36" s="33"/>
      <c r="O36" s="33"/>
      <c r="P36" s="33"/>
      <c r="Q36" s="33"/>
      <c r="R36" s="33"/>
      <c r="S36" s="33"/>
      <c r="T36" s="33"/>
      <c r="U36" s="33"/>
      <c r="V36" s="33"/>
      <c r="W36" s="33"/>
      <c r="X36" s="33"/>
      <c r="Y36" s="33"/>
      <c r="Z36" s="33"/>
    </row>
    <row r="37" spans="1:26" ht="72.5" customHeight="1" x14ac:dyDescent="0.35">
      <c r="A37" s="33"/>
      <c r="B37" s="151">
        <f t="shared" si="0"/>
        <v>12</v>
      </c>
      <c r="C37" s="155" t="s">
        <v>231</v>
      </c>
      <c r="D37" s="155"/>
      <c r="E37" s="155"/>
      <c r="F37" s="155"/>
      <c r="G37" s="155"/>
      <c r="H37" s="155"/>
      <c r="I37" s="33"/>
      <c r="J37" s="33"/>
      <c r="K37" s="33"/>
      <c r="L37" s="33"/>
      <c r="M37" s="33"/>
      <c r="N37" s="33"/>
      <c r="O37" s="33"/>
      <c r="P37" s="33"/>
      <c r="Q37" s="33"/>
      <c r="R37" s="33"/>
      <c r="S37" s="33"/>
      <c r="T37" s="33"/>
      <c r="U37" s="33"/>
      <c r="V37" s="33"/>
      <c r="W37" s="33"/>
      <c r="X37" s="33"/>
      <c r="Y37" s="33"/>
      <c r="Z37" s="33"/>
    </row>
    <row r="38" spans="1:26" ht="15.75" customHeight="1" x14ac:dyDescent="0.35">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15.75" customHeight="1" x14ac:dyDescent="0.35">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15.75" customHeight="1" x14ac:dyDescent="0.35">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15.75" customHeight="1" x14ac:dyDescent="0.35">
      <c r="A41" s="153"/>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15.75" customHeight="1" x14ac:dyDescent="0.35">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15.75" customHeight="1" x14ac:dyDescent="0.35">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15.75" customHeight="1" x14ac:dyDescent="0.35">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15.75" customHeight="1" x14ac:dyDescent="0.35">
      <c r="A45" s="153"/>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15.75" customHeight="1" x14ac:dyDescent="0.35">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15.75" customHeight="1" x14ac:dyDescent="0.35">
      <c r="A47" s="153"/>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15.75" customHeight="1" x14ac:dyDescent="0.35">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15.75" customHeight="1" x14ac:dyDescent="0.35">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15.75" customHeight="1" x14ac:dyDescent="0.35">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15.75" customHeight="1" x14ac:dyDescent="0.35">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15.75" customHeight="1" x14ac:dyDescent="0.35">
      <c r="A52" s="15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15.75" customHeight="1" x14ac:dyDescent="0.35">
      <c r="A53" s="153"/>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15.75" customHeight="1" x14ac:dyDescent="0.35">
      <c r="A54" s="153"/>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15.75" customHeight="1" x14ac:dyDescent="0.35">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15.75" customHeight="1" x14ac:dyDescent="0.35">
      <c r="A56" s="15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15.75" customHeight="1" x14ac:dyDescent="0.35">
      <c r="A57" s="153"/>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15.75" customHeight="1" x14ac:dyDescent="0.35">
      <c r="A58" s="153"/>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15.75" customHeight="1" x14ac:dyDescent="0.35">
      <c r="A59" s="153"/>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15.75" customHeight="1" x14ac:dyDescent="0.35">
      <c r="A60" s="153"/>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15.75" customHeight="1" x14ac:dyDescent="0.35">
      <c r="A61" s="153"/>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15.75" customHeight="1" x14ac:dyDescent="0.35">
      <c r="A62" s="153"/>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15.75" customHeight="1" x14ac:dyDescent="0.35">
      <c r="A63" s="153"/>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15.75" customHeight="1" x14ac:dyDescent="0.35">
      <c r="A64" s="153"/>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15.75" customHeight="1" x14ac:dyDescent="0.35">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15.75" customHeight="1" x14ac:dyDescent="0.35">
      <c r="A66" s="153"/>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15.75" customHeight="1" x14ac:dyDescent="0.35">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15.75" customHeight="1" x14ac:dyDescent="0.35">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15.75" customHeight="1" x14ac:dyDescent="0.35">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15.75" customHeight="1" x14ac:dyDescent="0.35">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15.75" customHeight="1" x14ac:dyDescent="0.35">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15.75" customHeight="1" x14ac:dyDescent="0.35">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15.75" customHeight="1" x14ac:dyDescent="0.35">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15.75" customHeight="1" x14ac:dyDescent="0.35">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15.75" customHeight="1" x14ac:dyDescent="0.35">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15.75" customHeight="1" x14ac:dyDescent="0.35">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15.75" customHeight="1" x14ac:dyDescent="0.35">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15.75" customHeight="1" x14ac:dyDescent="0.35">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15.75" customHeight="1" x14ac:dyDescent="0.35">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15.75" customHeight="1" x14ac:dyDescent="0.35">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15.75" customHeight="1" x14ac:dyDescent="0.35">
      <c r="A81" s="153"/>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15.75" customHeight="1" x14ac:dyDescent="0.35">
      <c r="A82" s="153"/>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15.75" customHeight="1" x14ac:dyDescent="0.35">
      <c r="A83" s="153"/>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15.75" customHeight="1" x14ac:dyDescent="0.35">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15.75" customHeight="1" x14ac:dyDescent="0.35">
      <c r="A85" s="153"/>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15.75" customHeight="1" x14ac:dyDescent="0.35">
      <c r="A86" s="15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15.75" customHeight="1" x14ac:dyDescent="0.35">
      <c r="A87" s="153"/>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15.75" customHeight="1" x14ac:dyDescent="0.35">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15.75" customHeight="1" x14ac:dyDescent="0.35">
      <c r="A89" s="153"/>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15.75" customHeight="1" x14ac:dyDescent="0.35">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15.75" customHeight="1" x14ac:dyDescent="0.35">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15.75" customHeight="1" x14ac:dyDescent="0.35">
      <c r="A92" s="153"/>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15.75" customHeight="1" x14ac:dyDescent="0.35">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15.75" customHeight="1" x14ac:dyDescent="0.35">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15.75" customHeight="1" x14ac:dyDescent="0.35">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15.75" customHeight="1" x14ac:dyDescent="0.35">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15.75" customHeight="1" x14ac:dyDescent="0.35">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15.75" customHeight="1" x14ac:dyDescent="0.35">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15.75" customHeight="1" x14ac:dyDescent="0.35">
      <c r="A99" s="153"/>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15.75" customHeight="1" x14ac:dyDescent="0.35">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15.75" customHeight="1" x14ac:dyDescent="0.35">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15.75" customHeight="1" x14ac:dyDescent="0.35">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15.75" customHeight="1" x14ac:dyDescent="0.35">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15.75" customHeight="1" x14ac:dyDescent="0.35">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15.75" customHeight="1" x14ac:dyDescent="0.35">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15.75" customHeight="1" x14ac:dyDescent="0.35">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15.75" customHeight="1" x14ac:dyDescent="0.35">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15.75" customHeight="1" x14ac:dyDescent="0.35">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15.75" customHeight="1" x14ac:dyDescent="0.35">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15.75" customHeight="1" x14ac:dyDescent="0.35">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15.75" customHeight="1" x14ac:dyDescent="0.35">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15.75" customHeight="1" x14ac:dyDescent="0.35">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15.75" customHeight="1" x14ac:dyDescent="0.35">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15.75" customHeight="1" x14ac:dyDescent="0.35">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15.75" customHeight="1" x14ac:dyDescent="0.35">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15.75" customHeight="1" x14ac:dyDescent="0.35">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15.75" customHeight="1" x14ac:dyDescent="0.35">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15.75" customHeight="1" x14ac:dyDescent="0.35">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15.75" customHeight="1" x14ac:dyDescent="0.35">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15.75" customHeight="1" x14ac:dyDescent="0.35">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15.75" customHeight="1" x14ac:dyDescent="0.35">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15.75" customHeight="1" x14ac:dyDescent="0.35">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15.75" customHeight="1" x14ac:dyDescent="0.35">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15.75" customHeight="1" x14ac:dyDescent="0.35">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15.75" customHeight="1" x14ac:dyDescent="0.35">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15.75" customHeight="1" x14ac:dyDescent="0.35">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15.75" customHeight="1" x14ac:dyDescent="0.35">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15.75" customHeight="1" x14ac:dyDescent="0.35">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15.75" customHeight="1" x14ac:dyDescent="0.35">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15.75" customHeight="1" x14ac:dyDescent="0.35">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15.75" customHeight="1" x14ac:dyDescent="0.35">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15.75" customHeight="1" x14ac:dyDescent="0.35">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15.75" customHeight="1" x14ac:dyDescent="0.35">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15.75" customHeight="1" x14ac:dyDescent="0.35">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15.75" customHeight="1" x14ac:dyDescent="0.35">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15.75" customHeight="1" x14ac:dyDescent="0.35">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15.75" customHeight="1" x14ac:dyDescent="0.35">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15.75" customHeight="1" x14ac:dyDescent="0.35">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15.75" customHeight="1" x14ac:dyDescent="0.35">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15.75" customHeight="1" x14ac:dyDescent="0.35">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15.75" customHeight="1" x14ac:dyDescent="0.35">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15.75" customHeight="1" x14ac:dyDescent="0.35">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15.75" customHeight="1" x14ac:dyDescent="0.35">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15.75" customHeight="1" x14ac:dyDescent="0.35">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15.75" customHeight="1" x14ac:dyDescent="0.35">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15.75" customHeight="1" x14ac:dyDescent="0.35">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15.75" customHeight="1" x14ac:dyDescent="0.35">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15.75" customHeight="1" x14ac:dyDescent="0.35">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15.75" customHeight="1" x14ac:dyDescent="0.35">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15.75" customHeight="1" x14ac:dyDescent="0.35">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15.75" customHeight="1" x14ac:dyDescent="0.35">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15.75" customHeight="1" x14ac:dyDescent="0.35">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15.75" customHeight="1" x14ac:dyDescent="0.35">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15.75" customHeight="1" x14ac:dyDescent="0.35">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15.75" customHeight="1" x14ac:dyDescent="0.35">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15.75" customHeight="1" x14ac:dyDescent="0.35">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15.75" customHeight="1" x14ac:dyDescent="0.35">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15.75" customHeight="1" x14ac:dyDescent="0.35">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15.75" customHeight="1" x14ac:dyDescent="0.35">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15.75" customHeight="1" x14ac:dyDescent="0.35">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15.75" customHeight="1" x14ac:dyDescent="0.35">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15.75" customHeight="1" x14ac:dyDescent="0.35">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15.75" customHeight="1" x14ac:dyDescent="0.35">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15.75" customHeight="1" x14ac:dyDescent="0.35">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15.75" customHeight="1" x14ac:dyDescent="0.35">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15.75" customHeight="1" x14ac:dyDescent="0.35">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15.75" customHeight="1" x14ac:dyDescent="0.35">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15.75" customHeight="1" x14ac:dyDescent="0.35">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15.75" customHeight="1" x14ac:dyDescent="0.35">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15.75" customHeight="1" x14ac:dyDescent="0.35">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15.75" customHeight="1" x14ac:dyDescent="0.35">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15.75" customHeight="1" x14ac:dyDescent="0.35">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15.75" customHeight="1" x14ac:dyDescent="0.35">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15.75" customHeight="1" x14ac:dyDescent="0.35">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15.75" customHeight="1" x14ac:dyDescent="0.35">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15.75" customHeight="1" x14ac:dyDescent="0.35">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15.75" customHeight="1" x14ac:dyDescent="0.35">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15.75" customHeight="1" x14ac:dyDescent="0.35">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15.75" customHeight="1" x14ac:dyDescent="0.35">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15.75" customHeight="1" x14ac:dyDescent="0.35">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15.75" customHeight="1" x14ac:dyDescent="0.35">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15.75" customHeight="1" x14ac:dyDescent="0.35">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15.75" customHeight="1" x14ac:dyDescent="0.35">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15.75" customHeight="1" x14ac:dyDescent="0.35">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15.75" customHeight="1" x14ac:dyDescent="0.35">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15.75" customHeight="1" x14ac:dyDescent="0.35">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15.75" customHeight="1" x14ac:dyDescent="0.35">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15.75" customHeight="1" x14ac:dyDescent="0.35">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15.75" customHeight="1" x14ac:dyDescent="0.35">
      <c r="A189" s="153"/>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15.75" customHeight="1" x14ac:dyDescent="0.35">
      <c r="A190" s="153"/>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15.75" customHeight="1" x14ac:dyDescent="0.35">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15.75" customHeight="1" x14ac:dyDescent="0.35">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15.75" customHeight="1" x14ac:dyDescent="0.35">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15.75" customHeight="1" x14ac:dyDescent="0.35">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15.75" customHeight="1" x14ac:dyDescent="0.35">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15.75" customHeight="1" x14ac:dyDescent="0.35">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15.75" customHeight="1" x14ac:dyDescent="0.35">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15.75" customHeight="1" x14ac:dyDescent="0.35">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15.75" customHeight="1" x14ac:dyDescent="0.35">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15.75" customHeight="1" x14ac:dyDescent="0.35">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15.75" customHeight="1" x14ac:dyDescent="0.35">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15.75" customHeight="1" x14ac:dyDescent="0.35">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15.75" customHeight="1" x14ac:dyDescent="0.35">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15.75" customHeight="1" x14ac:dyDescent="0.35">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15.75" customHeight="1" x14ac:dyDescent="0.35">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15.75" customHeight="1" x14ac:dyDescent="0.35">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15.75" customHeight="1" x14ac:dyDescent="0.35">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15.75" customHeight="1" x14ac:dyDescent="0.35">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15.75" customHeight="1" x14ac:dyDescent="0.35">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15.75" customHeight="1" x14ac:dyDescent="0.35">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15.75" customHeight="1" x14ac:dyDescent="0.35">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15.75" customHeight="1" x14ac:dyDescent="0.35">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15.75" customHeight="1" x14ac:dyDescent="0.35">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15.75" customHeight="1" x14ac:dyDescent="0.35">
      <c r="A214" s="153"/>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15.75" customHeight="1" x14ac:dyDescent="0.35">
      <c r="A215" s="153"/>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15.75" customHeight="1" x14ac:dyDescent="0.35">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15.75" customHeight="1" x14ac:dyDescent="0.35">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15.75" customHeight="1" x14ac:dyDescent="0.35">
      <c r="A218" s="153"/>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15.75" customHeight="1" x14ac:dyDescent="0.35">
      <c r="A219" s="153"/>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15.75" customHeight="1" x14ac:dyDescent="0.35">
      <c r="A220" s="153"/>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15.75" customHeight="1" x14ac:dyDescent="0.35">
      <c r="A221" s="153"/>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15.75" customHeight="1" x14ac:dyDescent="0.35">
      <c r="A222" s="153"/>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15.75" customHeight="1" x14ac:dyDescent="0.35">
      <c r="A223" s="153"/>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15.75" customHeight="1" x14ac:dyDescent="0.35">
      <c r="A224" s="153"/>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15.75" customHeight="1" x14ac:dyDescent="0.35">
      <c r="A225" s="153"/>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15.75" customHeight="1" x14ac:dyDescent="0.35">
      <c r="A226" s="153"/>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15.75" customHeight="1" x14ac:dyDescent="0.35">
      <c r="A227" s="153"/>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15.75" customHeight="1" x14ac:dyDescent="0.35">
      <c r="A228" s="153"/>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15.75" customHeight="1" x14ac:dyDescent="0.35">
      <c r="A229" s="153"/>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15.75" customHeight="1" x14ac:dyDescent="0.35">
      <c r="A230" s="153"/>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15.75" customHeight="1" x14ac:dyDescent="0.35">
      <c r="A231" s="153"/>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15.75" customHeight="1" x14ac:dyDescent="0.35">
      <c r="A232" s="153"/>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15.75" customHeight="1" x14ac:dyDescent="0.35">
      <c r="A233" s="153"/>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15.75" customHeight="1" x14ac:dyDescent="0.35">
      <c r="A234" s="153"/>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15.75" customHeight="1" x14ac:dyDescent="0.35">
      <c r="A235" s="153"/>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15.75" customHeight="1" x14ac:dyDescent="0.35">
      <c r="A236" s="153"/>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15.75" customHeight="1" x14ac:dyDescent="0.35">
      <c r="A237" s="153"/>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15.75" customHeight="1" x14ac:dyDescent="0.35">
      <c r="A238" s="153"/>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15.75" customHeight="1" x14ac:dyDescent="0.35">
      <c r="A239" s="153"/>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15.75" customHeight="1" x14ac:dyDescent="0.35">
      <c r="A240" s="153"/>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15.75" customHeight="1" x14ac:dyDescent="0.35">
      <c r="A241" s="153"/>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15.75" customHeight="1" x14ac:dyDescent="0.35">
      <c r="A242" s="153"/>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15.75" customHeight="1" x14ac:dyDescent="0.35">
      <c r="A243" s="153"/>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15.75" customHeight="1" x14ac:dyDescent="0.35">
      <c r="A244" s="153"/>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15.75" customHeight="1" x14ac:dyDescent="0.35">
      <c r="A245" s="153"/>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15.75" customHeight="1" x14ac:dyDescent="0.35">
      <c r="A246" s="153"/>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15.75" customHeight="1" x14ac:dyDescent="0.35">
      <c r="A247" s="153"/>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15.75" customHeight="1" x14ac:dyDescent="0.35">
      <c r="A248" s="153"/>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15.75" customHeight="1" x14ac:dyDescent="0.35">
      <c r="A249" s="153"/>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15.75" customHeight="1" x14ac:dyDescent="0.35">
      <c r="A250" s="153"/>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15.75" customHeight="1" x14ac:dyDescent="0.35">
      <c r="A251" s="153"/>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15.75" customHeight="1" x14ac:dyDescent="0.35">
      <c r="A252" s="153"/>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15.75" customHeight="1" x14ac:dyDescent="0.35">
      <c r="A253" s="153"/>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15.75" customHeight="1" x14ac:dyDescent="0.35">
      <c r="A254" s="153"/>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15.75" customHeight="1" x14ac:dyDescent="0.35">
      <c r="A255" s="153"/>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15.75" customHeight="1" x14ac:dyDescent="0.35">
      <c r="A256" s="153"/>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15.75" customHeight="1" x14ac:dyDescent="0.35">
      <c r="A257" s="153"/>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15.75" customHeight="1" x14ac:dyDescent="0.35">
      <c r="A258" s="153"/>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15.75" customHeight="1" x14ac:dyDescent="0.35">
      <c r="A259" s="153"/>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15.75" customHeight="1" x14ac:dyDescent="0.35">
      <c r="A260" s="153"/>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15.75" customHeight="1" x14ac:dyDescent="0.35">
      <c r="A261" s="153"/>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15.75" customHeight="1" x14ac:dyDescent="0.35">
      <c r="A262" s="153"/>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15.75" customHeight="1" x14ac:dyDescent="0.35">
      <c r="A263" s="153"/>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15.75" customHeight="1" x14ac:dyDescent="0.35">
      <c r="A264" s="153"/>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15.75" customHeight="1" x14ac:dyDescent="0.35">
      <c r="A265" s="153"/>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15.75" customHeight="1" x14ac:dyDescent="0.35">
      <c r="A266" s="153"/>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15.75" customHeight="1" x14ac:dyDescent="0.35">
      <c r="A267" s="153"/>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15.75" customHeight="1" x14ac:dyDescent="0.35">
      <c r="A268" s="153"/>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15.75" customHeight="1" x14ac:dyDescent="0.35">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15.75" customHeight="1" x14ac:dyDescent="0.35">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15.75" customHeight="1" x14ac:dyDescent="0.35">
      <c r="A271" s="153"/>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15.75" customHeight="1" x14ac:dyDescent="0.35">
      <c r="A272" s="153"/>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15.75" customHeight="1" x14ac:dyDescent="0.35">
      <c r="A273" s="153"/>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15.75" customHeight="1" x14ac:dyDescent="0.35">
      <c r="A274" s="153"/>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15.75" customHeight="1" x14ac:dyDescent="0.35">
      <c r="A275" s="153"/>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15.75" customHeight="1" x14ac:dyDescent="0.35">
      <c r="A276" s="153"/>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15.75" customHeight="1" x14ac:dyDescent="0.35">
      <c r="A277" s="153"/>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15.75" customHeight="1" x14ac:dyDescent="0.35">
      <c r="A278" s="153"/>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15.75" customHeight="1" x14ac:dyDescent="0.35">
      <c r="A279" s="153"/>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15.75" customHeight="1" x14ac:dyDescent="0.35">
      <c r="A280" s="153"/>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15.75" customHeight="1" x14ac:dyDescent="0.35">
      <c r="A281" s="153"/>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15.75" customHeight="1" x14ac:dyDescent="0.35">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15.75" customHeight="1" x14ac:dyDescent="0.35">
      <c r="A283" s="153"/>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15.75" customHeight="1" x14ac:dyDescent="0.35">
      <c r="A284" s="153"/>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15.75" customHeight="1" x14ac:dyDescent="0.35">
      <c r="A285" s="153"/>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15.75" customHeight="1" x14ac:dyDescent="0.35">
      <c r="A286" s="153"/>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15.75" customHeight="1" x14ac:dyDescent="0.35">
      <c r="A287" s="153"/>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15.75" customHeight="1" x14ac:dyDescent="0.35">
      <c r="A288" s="153"/>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15.75" customHeight="1" x14ac:dyDescent="0.35">
      <c r="A289" s="153"/>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15.75" customHeight="1" x14ac:dyDescent="0.35">
      <c r="A290" s="153"/>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15.75" customHeight="1" x14ac:dyDescent="0.35">
      <c r="A291" s="153"/>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15.75" customHeight="1" x14ac:dyDescent="0.35">
      <c r="A292" s="153"/>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15.75" customHeight="1" x14ac:dyDescent="0.35">
      <c r="A293" s="153"/>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15.75" customHeight="1" x14ac:dyDescent="0.35">
      <c r="A294" s="153"/>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15.75" customHeight="1" x14ac:dyDescent="0.35">
      <c r="A295" s="153"/>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15.75" customHeight="1" x14ac:dyDescent="0.35">
      <c r="A296" s="153"/>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15.75" customHeight="1" x14ac:dyDescent="0.35">
      <c r="A297" s="153"/>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15.75" customHeight="1" x14ac:dyDescent="0.35">
      <c r="A298" s="153"/>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15.75" customHeight="1" x14ac:dyDescent="0.35">
      <c r="A299" s="153"/>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15.75" customHeight="1" x14ac:dyDescent="0.35">
      <c r="A300" s="153"/>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15.75" customHeight="1" x14ac:dyDescent="0.35">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15.75" customHeight="1" x14ac:dyDescent="0.35">
      <c r="A302" s="153"/>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15.75" customHeight="1" x14ac:dyDescent="0.35">
      <c r="A303" s="153"/>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15.75" customHeight="1" x14ac:dyDescent="0.35">
      <c r="A304" s="153"/>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15.75" customHeight="1" x14ac:dyDescent="0.35">
      <c r="A305" s="153"/>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15.75" customHeight="1" x14ac:dyDescent="0.35">
      <c r="A306" s="153"/>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15.75" customHeight="1" x14ac:dyDescent="0.35">
      <c r="A307" s="153"/>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15.75" customHeight="1" x14ac:dyDescent="0.35">
      <c r="A308" s="153"/>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15.75" customHeight="1" x14ac:dyDescent="0.35">
      <c r="A309" s="153"/>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15.75" customHeight="1" x14ac:dyDescent="0.35">
      <c r="A310" s="153"/>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15.75" customHeight="1" x14ac:dyDescent="0.35">
      <c r="A311" s="153"/>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15.75" customHeight="1" x14ac:dyDescent="0.35">
      <c r="A312" s="153"/>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15.75" customHeight="1" x14ac:dyDescent="0.35">
      <c r="A313" s="153"/>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15.75" customHeight="1" x14ac:dyDescent="0.35">
      <c r="A314" s="153"/>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15.75" customHeight="1" x14ac:dyDescent="0.35">
      <c r="A315" s="153"/>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15.75" customHeight="1" x14ac:dyDescent="0.35">
      <c r="A316" s="153"/>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15.75" customHeight="1" x14ac:dyDescent="0.35">
      <c r="A317" s="153"/>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15.75" customHeight="1" x14ac:dyDescent="0.35">
      <c r="A318" s="153"/>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15.75" customHeight="1" x14ac:dyDescent="0.35">
      <c r="A319" s="153"/>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15.75" customHeight="1" x14ac:dyDescent="0.35">
      <c r="A320" s="153"/>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15.75" customHeight="1" x14ac:dyDescent="0.35">
      <c r="A321" s="153"/>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15.75" customHeight="1" x14ac:dyDescent="0.35">
      <c r="A322" s="153"/>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15.75" customHeight="1" x14ac:dyDescent="0.35">
      <c r="A323" s="153"/>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15.75" customHeight="1" x14ac:dyDescent="0.35">
      <c r="A324" s="153"/>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15.75" customHeight="1" x14ac:dyDescent="0.35">
      <c r="A325" s="153"/>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15.75" customHeight="1" x14ac:dyDescent="0.35">
      <c r="A326" s="153"/>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15.75" customHeight="1" x14ac:dyDescent="0.35">
      <c r="A327" s="153"/>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15.75" customHeight="1" x14ac:dyDescent="0.35">
      <c r="A328" s="153"/>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15.75" customHeight="1" x14ac:dyDescent="0.35">
      <c r="A329" s="153"/>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15.75" customHeight="1" x14ac:dyDescent="0.35">
      <c r="A330" s="153"/>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15.75" customHeight="1" x14ac:dyDescent="0.35">
      <c r="A331" s="153"/>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15.75" customHeight="1" x14ac:dyDescent="0.35">
      <c r="A332" s="153"/>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15.75" customHeight="1" x14ac:dyDescent="0.35">
      <c r="A333" s="153"/>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15.75" customHeight="1" x14ac:dyDescent="0.35">
      <c r="A334" s="153"/>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15.75" customHeight="1" x14ac:dyDescent="0.35">
      <c r="A335" s="153"/>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15.75" customHeight="1" x14ac:dyDescent="0.35">
      <c r="A336" s="153"/>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15.75" customHeight="1" x14ac:dyDescent="0.35">
      <c r="A337" s="153"/>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15.75" customHeight="1" x14ac:dyDescent="0.35">
      <c r="A338" s="153"/>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15.75" customHeight="1" x14ac:dyDescent="0.35">
      <c r="A339" s="153"/>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15.75" customHeight="1" x14ac:dyDescent="0.35">
      <c r="A340" s="153"/>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15.75" customHeight="1" x14ac:dyDescent="0.35">
      <c r="A341" s="153"/>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15.75" customHeight="1" x14ac:dyDescent="0.35">
      <c r="A342" s="153"/>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15.75" customHeight="1" x14ac:dyDescent="0.35">
      <c r="A343" s="153"/>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15.75" customHeight="1" x14ac:dyDescent="0.35">
      <c r="A344" s="153"/>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15.75" customHeight="1" x14ac:dyDescent="0.35">
      <c r="A345" s="153"/>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15.75" customHeight="1" x14ac:dyDescent="0.35">
      <c r="A346" s="153"/>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15.75" customHeight="1" x14ac:dyDescent="0.35">
      <c r="A347" s="153"/>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15.75" customHeight="1" x14ac:dyDescent="0.35">
      <c r="A348" s="153"/>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15.75" customHeight="1" x14ac:dyDescent="0.35">
      <c r="A349" s="153"/>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15.75" customHeight="1" x14ac:dyDescent="0.35">
      <c r="A350" s="153"/>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15.75" customHeight="1" x14ac:dyDescent="0.35">
      <c r="A351" s="153"/>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15.75" customHeight="1" x14ac:dyDescent="0.35">
      <c r="A352" s="153"/>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15.75" customHeight="1" x14ac:dyDescent="0.35">
      <c r="A353" s="153"/>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15.75" customHeight="1" x14ac:dyDescent="0.35">
      <c r="A354" s="153"/>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15.75" customHeight="1" x14ac:dyDescent="0.35">
      <c r="A355" s="153"/>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15.75" customHeight="1" x14ac:dyDescent="0.35">
      <c r="A356" s="153"/>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15.75" customHeight="1" x14ac:dyDescent="0.35">
      <c r="A357" s="153"/>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15.75" customHeight="1" x14ac:dyDescent="0.35">
      <c r="A358" s="153"/>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15.75" customHeight="1" x14ac:dyDescent="0.35">
      <c r="A359" s="153"/>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15.75" customHeight="1" x14ac:dyDescent="0.35">
      <c r="A360" s="153"/>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15.75" customHeight="1" x14ac:dyDescent="0.35">
      <c r="A361" s="153"/>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15.75" customHeight="1" x14ac:dyDescent="0.35">
      <c r="A362" s="153"/>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15.75" customHeight="1" x14ac:dyDescent="0.35">
      <c r="A363" s="153"/>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15.75" customHeight="1" x14ac:dyDescent="0.35">
      <c r="A364" s="153"/>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15.75" customHeight="1" x14ac:dyDescent="0.35">
      <c r="A365" s="153"/>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15.75" customHeight="1" x14ac:dyDescent="0.35">
      <c r="A366" s="153"/>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15.75" customHeight="1" x14ac:dyDescent="0.35">
      <c r="A367" s="153"/>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15.75" customHeight="1" x14ac:dyDescent="0.35">
      <c r="A368" s="153"/>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15.75" customHeight="1" x14ac:dyDescent="0.35">
      <c r="A369" s="153"/>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15.75" customHeight="1" x14ac:dyDescent="0.35">
      <c r="A370" s="153"/>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15.75" customHeight="1" x14ac:dyDescent="0.35">
      <c r="A371" s="153"/>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15.75" customHeight="1" x14ac:dyDescent="0.35">
      <c r="A372" s="153"/>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15.75" customHeight="1" x14ac:dyDescent="0.35">
      <c r="A373" s="153"/>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15.75" customHeight="1" x14ac:dyDescent="0.35">
      <c r="A374" s="153"/>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15.75" customHeight="1" x14ac:dyDescent="0.35">
      <c r="A375" s="153"/>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15.75" customHeight="1" x14ac:dyDescent="0.35">
      <c r="A376" s="153"/>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15.75" customHeight="1" x14ac:dyDescent="0.35">
      <c r="A377" s="153"/>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15.75" customHeight="1" x14ac:dyDescent="0.35">
      <c r="A378" s="153"/>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15.75" customHeight="1" x14ac:dyDescent="0.35">
      <c r="A379" s="153"/>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15.75" customHeight="1" x14ac:dyDescent="0.35">
      <c r="A380" s="153"/>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15.75" customHeight="1" x14ac:dyDescent="0.35">
      <c r="A381" s="153"/>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15.75" customHeight="1" x14ac:dyDescent="0.35">
      <c r="A382" s="153"/>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15.75" customHeight="1" x14ac:dyDescent="0.35">
      <c r="A383" s="153"/>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15.75" customHeight="1" x14ac:dyDescent="0.35">
      <c r="A384" s="153"/>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15.75" customHeight="1" x14ac:dyDescent="0.35">
      <c r="A385" s="153"/>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15.75" customHeight="1" x14ac:dyDescent="0.35">
      <c r="A386" s="153"/>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15.75" customHeight="1" x14ac:dyDescent="0.35">
      <c r="A387" s="153"/>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15.75" customHeight="1" x14ac:dyDescent="0.35">
      <c r="A388" s="153"/>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15.75" customHeight="1" x14ac:dyDescent="0.35">
      <c r="A389" s="153"/>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15.75" customHeight="1" x14ac:dyDescent="0.35">
      <c r="A390" s="153"/>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15.75" customHeight="1" x14ac:dyDescent="0.35">
      <c r="A391" s="153"/>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15.75" customHeight="1" x14ac:dyDescent="0.35">
      <c r="A392" s="153"/>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15.75" customHeight="1" x14ac:dyDescent="0.35">
      <c r="A393" s="153"/>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15.75" customHeight="1" x14ac:dyDescent="0.35">
      <c r="A394" s="153"/>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15.75" customHeight="1" x14ac:dyDescent="0.35">
      <c r="A395" s="153"/>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15.75" customHeight="1" x14ac:dyDescent="0.35">
      <c r="A396" s="153"/>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15.75" customHeight="1" x14ac:dyDescent="0.35">
      <c r="A397" s="153"/>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15.75" customHeight="1" x14ac:dyDescent="0.35">
      <c r="A398" s="153"/>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15.75" customHeight="1" x14ac:dyDescent="0.35">
      <c r="A399" s="153"/>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15.75" customHeight="1" x14ac:dyDescent="0.35">
      <c r="A400" s="153"/>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15.75" customHeight="1" x14ac:dyDescent="0.35">
      <c r="A401" s="153"/>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15.75" customHeight="1" x14ac:dyDescent="0.35">
      <c r="A402" s="153"/>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15.75" customHeight="1" x14ac:dyDescent="0.35">
      <c r="A403" s="153"/>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15.75" customHeight="1" x14ac:dyDescent="0.35">
      <c r="A404" s="153"/>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15.75" customHeight="1" x14ac:dyDescent="0.35">
      <c r="A405" s="153"/>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15.75" customHeight="1" x14ac:dyDescent="0.35">
      <c r="A406" s="153"/>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15.75" customHeight="1" x14ac:dyDescent="0.35">
      <c r="A407" s="153"/>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15.75" customHeight="1" x14ac:dyDescent="0.35">
      <c r="A408" s="153"/>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15.75" customHeight="1" x14ac:dyDescent="0.35">
      <c r="A409" s="153"/>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15.75" customHeight="1" x14ac:dyDescent="0.35">
      <c r="A410" s="153"/>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15.75" customHeight="1" x14ac:dyDescent="0.35">
      <c r="A411" s="153"/>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15.75" customHeight="1" x14ac:dyDescent="0.35">
      <c r="A412" s="153"/>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15.75" customHeight="1" x14ac:dyDescent="0.35">
      <c r="A413" s="153"/>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15.75" customHeight="1" x14ac:dyDescent="0.35">
      <c r="A414" s="153"/>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15.75" customHeight="1" x14ac:dyDescent="0.35">
      <c r="A415" s="153"/>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15.75" customHeight="1" x14ac:dyDescent="0.35">
      <c r="A416" s="153"/>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15.75" customHeight="1" x14ac:dyDescent="0.35">
      <c r="A417" s="153"/>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15.75" customHeight="1" x14ac:dyDescent="0.35">
      <c r="A418" s="153"/>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15.75" customHeight="1" x14ac:dyDescent="0.35">
      <c r="A419" s="153"/>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15.75" customHeight="1" x14ac:dyDescent="0.35">
      <c r="A420" s="153"/>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15.75" customHeight="1" x14ac:dyDescent="0.35">
      <c r="A421" s="153"/>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15.75" customHeight="1" x14ac:dyDescent="0.35">
      <c r="A422" s="153"/>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15.75" customHeight="1" x14ac:dyDescent="0.35">
      <c r="A423" s="153"/>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15.75" customHeight="1" x14ac:dyDescent="0.35">
      <c r="A424" s="153"/>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15.75" customHeight="1" x14ac:dyDescent="0.35">
      <c r="A425" s="153"/>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15.75" customHeight="1" x14ac:dyDescent="0.35">
      <c r="A426" s="153"/>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15.75" customHeight="1" x14ac:dyDescent="0.35">
      <c r="A427" s="153"/>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15.75" customHeight="1" x14ac:dyDescent="0.35">
      <c r="A428" s="153"/>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15.75" customHeight="1" x14ac:dyDescent="0.35">
      <c r="A429" s="153"/>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15.75" customHeight="1" x14ac:dyDescent="0.35">
      <c r="A430" s="153"/>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15.75" customHeight="1" x14ac:dyDescent="0.35">
      <c r="A431" s="153"/>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15.75" customHeight="1" x14ac:dyDescent="0.35">
      <c r="A432" s="153"/>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15.75" customHeight="1" x14ac:dyDescent="0.35">
      <c r="A433" s="153"/>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15.75" customHeight="1" x14ac:dyDescent="0.35">
      <c r="A434" s="153"/>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15.75" customHeight="1" x14ac:dyDescent="0.35">
      <c r="A435" s="153"/>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15.75" customHeight="1" x14ac:dyDescent="0.35">
      <c r="A436" s="153"/>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15.75" customHeight="1" x14ac:dyDescent="0.35">
      <c r="A437" s="153"/>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15.75" customHeight="1" x14ac:dyDescent="0.35">
      <c r="A438" s="153"/>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15.75" customHeight="1" x14ac:dyDescent="0.35">
      <c r="A439" s="153"/>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15.75" customHeight="1" x14ac:dyDescent="0.35">
      <c r="A440" s="153"/>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15.75" customHeight="1" x14ac:dyDescent="0.35">
      <c r="A441" s="153"/>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15.75" customHeight="1" x14ac:dyDescent="0.35">
      <c r="A442" s="153"/>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15.75" customHeight="1" x14ac:dyDescent="0.35">
      <c r="A443" s="153"/>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15.75" customHeight="1" x14ac:dyDescent="0.35">
      <c r="A444" s="153"/>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15.75" customHeight="1" x14ac:dyDescent="0.35">
      <c r="A445" s="153"/>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15.75" customHeight="1" x14ac:dyDescent="0.35">
      <c r="A446" s="153"/>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15.75" customHeight="1" x14ac:dyDescent="0.35">
      <c r="A447" s="153"/>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15.75" customHeight="1" x14ac:dyDescent="0.35">
      <c r="A448" s="153"/>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15.75" customHeight="1" x14ac:dyDescent="0.35">
      <c r="A449" s="153"/>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15.75" customHeight="1" x14ac:dyDescent="0.35">
      <c r="A450" s="153"/>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15.75" customHeight="1" x14ac:dyDescent="0.35">
      <c r="A451" s="153"/>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15.75" customHeight="1" x14ac:dyDescent="0.35">
      <c r="A452" s="153"/>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15.75" customHeight="1" x14ac:dyDescent="0.35">
      <c r="A453" s="153"/>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15.75" customHeight="1" x14ac:dyDescent="0.35">
      <c r="A454" s="153"/>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15.75" customHeight="1" x14ac:dyDescent="0.35">
      <c r="A455" s="153"/>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15.75" customHeight="1" x14ac:dyDescent="0.35">
      <c r="A456" s="153"/>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15.75" customHeight="1" x14ac:dyDescent="0.35">
      <c r="A457" s="153"/>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15.75" customHeight="1" x14ac:dyDescent="0.35">
      <c r="A458" s="153"/>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15.75" customHeight="1" x14ac:dyDescent="0.35">
      <c r="A459" s="153"/>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15.75" customHeight="1" x14ac:dyDescent="0.35">
      <c r="A460" s="153"/>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15.75" customHeight="1" x14ac:dyDescent="0.35">
      <c r="A461" s="153"/>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15.75" customHeight="1" x14ac:dyDescent="0.35">
      <c r="A462" s="153"/>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15.75" customHeight="1" x14ac:dyDescent="0.35">
      <c r="A463" s="153"/>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15.75" customHeight="1" x14ac:dyDescent="0.35">
      <c r="A464" s="153"/>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15.75" customHeight="1" x14ac:dyDescent="0.35">
      <c r="A465" s="153"/>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15.75" customHeight="1" x14ac:dyDescent="0.35">
      <c r="A466" s="153"/>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15.75" customHeight="1" x14ac:dyDescent="0.35">
      <c r="A467" s="153"/>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15.75" customHeight="1" x14ac:dyDescent="0.35">
      <c r="A468" s="153"/>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15.75" customHeight="1" x14ac:dyDescent="0.35">
      <c r="A469" s="153"/>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15.75" customHeight="1" x14ac:dyDescent="0.35">
      <c r="A470" s="153"/>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15.75" customHeight="1" x14ac:dyDescent="0.35">
      <c r="A471" s="153"/>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15.75" customHeight="1" x14ac:dyDescent="0.35">
      <c r="A472" s="153"/>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15.75" customHeight="1" x14ac:dyDescent="0.35">
      <c r="A473" s="153"/>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15.75" customHeight="1" x14ac:dyDescent="0.35">
      <c r="A474" s="153"/>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15.75" customHeight="1" x14ac:dyDescent="0.35">
      <c r="A475" s="153"/>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15.75" customHeight="1" x14ac:dyDescent="0.35">
      <c r="A476" s="153"/>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15.75" customHeight="1" x14ac:dyDescent="0.35">
      <c r="A477" s="153"/>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15.75" customHeight="1" x14ac:dyDescent="0.35">
      <c r="A478" s="153"/>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15.75" customHeight="1" x14ac:dyDescent="0.35">
      <c r="A479" s="153"/>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15.75" customHeight="1" x14ac:dyDescent="0.35">
      <c r="A480" s="153"/>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15.75" customHeight="1" x14ac:dyDescent="0.35">
      <c r="A481" s="153"/>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15.75" customHeight="1" x14ac:dyDescent="0.35">
      <c r="A482" s="153"/>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15.75" customHeight="1" x14ac:dyDescent="0.35">
      <c r="A483" s="153"/>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15.75" customHeight="1" x14ac:dyDescent="0.35">
      <c r="A484" s="153"/>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15.75" customHeight="1" x14ac:dyDescent="0.35">
      <c r="A485" s="153"/>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15.75" customHeight="1" x14ac:dyDescent="0.35">
      <c r="A486" s="153"/>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15.75" customHeight="1" x14ac:dyDescent="0.35">
      <c r="A487" s="153"/>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15.75" customHeight="1" x14ac:dyDescent="0.35">
      <c r="A488" s="153"/>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15.75" customHeight="1" x14ac:dyDescent="0.35">
      <c r="A489" s="153"/>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15.75" customHeight="1" x14ac:dyDescent="0.35">
      <c r="A490" s="153"/>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15.75" customHeight="1" x14ac:dyDescent="0.35">
      <c r="A491" s="153"/>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15.75" customHeight="1" x14ac:dyDescent="0.35">
      <c r="A492" s="153"/>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15.75" customHeight="1" x14ac:dyDescent="0.35">
      <c r="A493" s="153"/>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15.75" customHeight="1" x14ac:dyDescent="0.35">
      <c r="A494" s="153"/>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15.75" customHeight="1" x14ac:dyDescent="0.35">
      <c r="A495" s="153"/>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15.75" customHeight="1" x14ac:dyDescent="0.35">
      <c r="A496" s="153"/>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15.75" customHeight="1" x14ac:dyDescent="0.35">
      <c r="A497" s="153"/>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15.75" customHeight="1" x14ac:dyDescent="0.35">
      <c r="A498" s="153"/>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15.75" customHeight="1" x14ac:dyDescent="0.35">
      <c r="A499" s="153"/>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15.75" customHeight="1" x14ac:dyDescent="0.35">
      <c r="A500" s="153"/>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15.75" customHeight="1" x14ac:dyDescent="0.35">
      <c r="A501" s="153"/>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15.75" customHeight="1" x14ac:dyDescent="0.35">
      <c r="A502" s="153"/>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15.75" customHeight="1" x14ac:dyDescent="0.35">
      <c r="A503" s="153"/>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15.75" customHeight="1" x14ac:dyDescent="0.35">
      <c r="A504" s="153"/>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15.75" customHeight="1" x14ac:dyDescent="0.35">
      <c r="A505" s="153"/>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15.75" customHeight="1" x14ac:dyDescent="0.35">
      <c r="A506" s="153"/>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15.75" customHeight="1" x14ac:dyDescent="0.35">
      <c r="A507" s="153"/>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15.75" customHeight="1" x14ac:dyDescent="0.35">
      <c r="A508" s="153"/>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15.75" customHeight="1" x14ac:dyDescent="0.35">
      <c r="A509" s="153"/>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15.75" customHeight="1" x14ac:dyDescent="0.35">
      <c r="A510" s="153"/>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15.75" customHeight="1" x14ac:dyDescent="0.35">
      <c r="A511" s="153"/>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15.75" customHeight="1" x14ac:dyDescent="0.35">
      <c r="A512" s="153"/>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15.75" customHeight="1" x14ac:dyDescent="0.35">
      <c r="A513" s="153"/>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15.75" customHeight="1" x14ac:dyDescent="0.35">
      <c r="A514" s="153"/>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15.75" customHeight="1" x14ac:dyDescent="0.35">
      <c r="A515" s="153"/>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15.75" customHeight="1" x14ac:dyDescent="0.35">
      <c r="A516" s="153"/>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15.75" customHeight="1" x14ac:dyDescent="0.35">
      <c r="A517" s="153"/>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15.75" customHeight="1" x14ac:dyDescent="0.35">
      <c r="A518" s="153"/>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15.75" customHeight="1" x14ac:dyDescent="0.35">
      <c r="A519" s="153"/>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15.75" customHeight="1" x14ac:dyDescent="0.35">
      <c r="A520" s="153"/>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15.75" customHeight="1" x14ac:dyDescent="0.35">
      <c r="A521" s="153"/>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15.75" customHeight="1" x14ac:dyDescent="0.35">
      <c r="A522" s="153"/>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15.75" customHeight="1" x14ac:dyDescent="0.35">
      <c r="A523" s="153"/>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15.75" customHeight="1" x14ac:dyDescent="0.35">
      <c r="A524" s="153"/>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15.75" customHeight="1" x14ac:dyDescent="0.35">
      <c r="A525" s="153"/>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15.75" customHeight="1" x14ac:dyDescent="0.35">
      <c r="A526" s="153"/>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15.75" customHeight="1" x14ac:dyDescent="0.35">
      <c r="A527" s="153"/>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15.75" customHeight="1" x14ac:dyDescent="0.35">
      <c r="A528" s="153"/>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15.75" customHeight="1" x14ac:dyDescent="0.35">
      <c r="A529" s="153"/>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15.75" customHeight="1" x14ac:dyDescent="0.35">
      <c r="A530" s="153"/>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15.75" customHeight="1" x14ac:dyDescent="0.35">
      <c r="A531" s="153"/>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15.75" customHeight="1" x14ac:dyDescent="0.35">
      <c r="A532" s="153"/>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15.75" customHeight="1" x14ac:dyDescent="0.35">
      <c r="A533" s="153"/>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15.75" customHeight="1" x14ac:dyDescent="0.35">
      <c r="A534" s="153"/>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15.75" customHeight="1" x14ac:dyDescent="0.35">
      <c r="A535" s="153"/>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15.75" customHeight="1" x14ac:dyDescent="0.35">
      <c r="A536" s="153"/>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15.75" customHeight="1" x14ac:dyDescent="0.35">
      <c r="A537" s="153"/>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15.75" customHeight="1" x14ac:dyDescent="0.35">
      <c r="A538" s="153"/>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15.75" customHeight="1" x14ac:dyDescent="0.35">
      <c r="A539" s="153"/>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15.75" customHeight="1" x14ac:dyDescent="0.35">
      <c r="A540" s="153"/>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15.75" customHeight="1" x14ac:dyDescent="0.35">
      <c r="A541" s="153"/>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15.75" customHeight="1" x14ac:dyDescent="0.35">
      <c r="A542" s="153"/>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15.75" customHeight="1" x14ac:dyDescent="0.35">
      <c r="A543" s="153"/>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15.75" customHeight="1" x14ac:dyDescent="0.35">
      <c r="A544" s="153"/>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15.75" customHeight="1" x14ac:dyDescent="0.35">
      <c r="A545" s="153"/>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15.75" customHeight="1" x14ac:dyDescent="0.35">
      <c r="A546" s="153"/>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15.75" customHeight="1" x14ac:dyDescent="0.35">
      <c r="A547" s="153"/>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15.75" customHeight="1" x14ac:dyDescent="0.35">
      <c r="A548" s="153"/>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15.75" customHeight="1" x14ac:dyDescent="0.35">
      <c r="A549" s="153"/>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15.75" customHeight="1" x14ac:dyDescent="0.35">
      <c r="A550" s="153"/>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15.75" customHeight="1" x14ac:dyDescent="0.35">
      <c r="A551" s="153"/>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15.75" customHeight="1" x14ac:dyDescent="0.35">
      <c r="A552" s="153"/>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15.75" customHeight="1" x14ac:dyDescent="0.35">
      <c r="A553" s="153"/>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15.75" customHeight="1" x14ac:dyDescent="0.35">
      <c r="A554" s="153"/>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15.75" customHeight="1" x14ac:dyDescent="0.35">
      <c r="A555" s="153"/>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15.75" customHeight="1" x14ac:dyDescent="0.35">
      <c r="A556" s="153"/>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15.75" customHeight="1" x14ac:dyDescent="0.35">
      <c r="A557" s="153"/>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15.75" customHeight="1" x14ac:dyDescent="0.35">
      <c r="A558" s="153"/>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15.75" customHeight="1" x14ac:dyDescent="0.35">
      <c r="A559" s="153"/>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15.75" customHeight="1" x14ac:dyDescent="0.35">
      <c r="A560" s="153"/>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15.75" customHeight="1" x14ac:dyDescent="0.35">
      <c r="A561" s="153"/>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15.75" customHeight="1" x14ac:dyDescent="0.35">
      <c r="A562" s="153"/>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15.75" customHeight="1" x14ac:dyDescent="0.35">
      <c r="A563" s="153"/>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15.75" customHeight="1" x14ac:dyDescent="0.35">
      <c r="A564" s="153"/>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15.75" customHeight="1" x14ac:dyDescent="0.35">
      <c r="A565" s="153"/>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15.75" customHeight="1" x14ac:dyDescent="0.35">
      <c r="A566" s="153"/>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15.75" customHeight="1" x14ac:dyDescent="0.35">
      <c r="A567" s="153"/>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15.75" customHeight="1" x14ac:dyDescent="0.35">
      <c r="A568" s="153"/>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15.75" customHeight="1" x14ac:dyDescent="0.35">
      <c r="A569" s="153"/>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15.75" customHeight="1" x14ac:dyDescent="0.35">
      <c r="A570" s="153"/>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15.75" customHeight="1" x14ac:dyDescent="0.35">
      <c r="A571" s="153"/>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15.75" customHeight="1" x14ac:dyDescent="0.35">
      <c r="A572" s="153"/>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15.75" customHeight="1" x14ac:dyDescent="0.35">
      <c r="A573" s="153"/>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15.75" customHeight="1" x14ac:dyDescent="0.35">
      <c r="A574" s="153"/>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15.75" customHeight="1" x14ac:dyDescent="0.35">
      <c r="A575" s="153"/>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15.75" customHeight="1" x14ac:dyDescent="0.35">
      <c r="A576" s="153"/>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15.75" customHeight="1" x14ac:dyDescent="0.35">
      <c r="A577" s="153"/>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15.75" customHeight="1" x14ac:dyDescent="0.35">
      <c r="A578" s="153"/>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15.75" customHeight="1" x14ac:dyDescent="0.35">
      <c r="A579" s="153"/>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15.75" customHeight="1" x14ac:dyDescent="0.35">
      <c r="A580" s="153"/>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15.75" customHeight="1" x14ac:dyDescent="0.35">
      <c r="A581" s="153"/>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15.75" customHeight="1" x14ac:dyDescent="0.35">
      <c r="A582" s="153"/>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15.75" customHeight="1" x14ac:dyDescent="0.35">
      <c r="A583" s="153"/>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15.75" customHeight="1" x14ac:dyDescent="0.35">
      <c r="A584" s="153"/>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15.75" customHeight="1" x14ac:dyDescent="0.35">
      <c r="A585" s="153"/>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15.75" customHeight="1" x14ac:dyDescent="0.35">
      <c r="A586" s="153"/>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15.75" customHeight="1" x14ac:dyDescent="0.35">
      <c r="A587" s="153"/>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15.75" customHeight="1" x14ac:dyDescent="0.35">
      <c r="A588" s="153"/>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15.75" customHeight="1" x14ac:dyDescent="0.35">
      <c r="A589" s="153"/>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15.75" customHeight="1" x14ac:dyDescent="0.35">
      <c r="A590" s="153"/>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15.75" customHeight="1" x14ac:dyDescent="0.35">
      <c r="A591" s="153"/>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15.75" customHeight="1" x14ac:dyDescent="0.35">
      <c r="A592" s="153"/>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15.75" customHeight="1" x14ac:dyDescent="0.35">
      <c r="A593" s="153"/>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15.75" customHeight="1" x14ac:dyDescent="0.35">
      <c r="A594" s="153"/>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15.75" customHeight="1" x14ac:dyDescent="0.35">
      <c r="A595" s="153"/>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15.75" customHeight="1" x14ac:dyDescent="0.35">
      <c r="A596" s="153"/>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15.75" customHeight="1" x14ac:dyDescent="0.35">
      <c r="A597" s="153"/>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15.75" customHeight="1" x14ac:dyDescent="0.35">
      <c r="A598" s="153"/>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15.75" customHeight="1" x14ac:dyDescent="0.35">
      <c r="A599" s="153"/>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15.75" customHeight="1" x14ac:dyDescent="0.35">
      <c r="A600" s="153"/>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15.75" customHeight="1" x14ac:dyDescent="0.35">
      <c r="A601" s="153"/>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15.75" customHeight="1" x14ac:dyDescent="0.35">
      <c r="A602" s="153"/>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15.75" customHeight="1" x14ac:dyDescent="0.35">
      <c r="A603" s="153"/>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15.75" customHeight="1" x14ac:dyDescent="0.35">
      <c r="A604" s="153"/>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15.75" customHeight="1" x14ac:dyDescent="0.35">
      <c r="A605" s="153"/>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15.75" customHeight="1" x14ac:dyDescent="0.35">
      <c r="A606" s="153"/>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15.75" customHeight="1" x14ac:dyDescent="0.35">
      <c r="A607" s="153"/>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15.75" customHeight="1" x14ac:dyDescent="0.35">
      <c r="A608" s="153"/>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15.75" customHeight="1" x14ac:dyDescent="0.35">
      <c r="A609" s="153"/>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15.75" customHeight="1" x14ac:dyDescent="0.35">
      <c r="A610" s="153"/>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15.75" customHeight="1" x14ac:dyDescent="0.35">
      <c r="A611" s="153"/>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15.75" customHeight="1" x14ac:dyDescent="0.35">
      <c r="A612" s="153"/>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15.75" customHeight="1" x14ac:dyDescent="0.35">
      <c r="A613" s="153"/>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15.75" customHeight="1" x14ac:dyDescent="0.35">
      <c r="A614" s="153"/>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15.75" customHeight="1" x14ac:dyDescent="0.35">
      <c r="A615" s="153"/>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15.75" customHeight="1" x14ac:dyDescent="0.35">
      <c r="A616" s="153"/>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15.75" customHeight="1" x14ac:dyDescent="0.35">
      <c r="A617" s="153"/>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15.75" customHeight="1" x14ac:dyDescent="0.35">
      <c r="A618" s="153"/>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15.75" customHeight="1" x14ac:dyDescent="0.35">
      <c r="A619" s="153"/>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15.75" customHeight="1" x14ac:dyDescent="0.35">
      <c r="A620" s="153"/>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15.75" customHeight="1" x14ac:dyDescent="0.35">
      <c r="A621" s="153"/>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15.75" customHeight="1" x14ac:dyDescent="0.35">
      <c r="A622" s="153"/>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15.75" customHeight="1" x14ac:dyDescent="0.35">
      <c r="A623" s="153"/>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15.75" customHeight="1" x14ac:dyDescent="0.35">
      <c r="A624" s="153"/>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15.75" customHeight="1" x14ac:dyDescent="0.35">
      <c r="A625" s="153"/>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15.75" customHeight="1" x14ac:dyDescent="0.35">
      <c r="A626" s="153"/>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15.75" customHeight="1" x14ac:dyDescent="0.35">
      <c r="A627" s="153"/>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15.75" customHeight="1" x14ac:dyDescent="0.35">
      <c r="A628" s="153"/>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15.75" customHeight="1" x14ac:dyDescent="0.35">
      <c r="A629" s="153"/>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15.75" customHeight="1" x14ac:dyDescent="0.35">
      <c r="A630" s="153"/>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15.75" customHeight="1" x14ac:dyDescent="0.35">
      <c r="A631" s="153"/>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15.75" customHeight="1" x14ac:dyDescent="0.35">
      <c r="A632" s="153"/>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15.75" customHeight="1" x14ac:dyDescent="0.35">
      <c r="A633" s="153"/>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15.75" customHeight="1" x14ac:dyDescent="0.35">
      <c r="A634" s="153"/>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15.75" customHeight="1" x14ac:dyDescent="0.35">
      <c r="A635" s="153"/>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15.75" customHeight="1" x14ac:dyDescent="0.35">
      <c r="A636" s="153"/>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15.75" customHeight="1" x14ac:dyDescent="0.35">
      <c r="A637" s="153"/>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15.75" customHeight="1" x14ac:dyDescent="0.35">
      <c r="A638" s="153"/>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15.75" customHeight="1" x14ac:dyDescent="0.35">
      <c r="A639" s="153"/>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15.75" customHeight="1" x14ac:dyDescent="0.35">
      <c r="A640" s="153"/>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15.75" customHeight="1" x14ac:dyDescent="0.35">
      <c r="A641" s="153"/>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15.75" customHeight="1" x14ac:dyDescent="0.35">
      <c r="A642" s="153"/>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15.75" customHeight="1" x14ac:dyDescent="0.35">
      <c r="A643" s="153"/>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15.75" customHeight="1" x14ac:dyDescent="0.35">
      <c r="A644" s="153"/>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15.75" customHeight="1" x14ac:dyDescent="0.35">
      <c r="A645" s="153"/>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15.75" customHeight="1" x14ac:dyDescent="0.35">
      <c r="A646" s="153"/>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15.75" customHeight="1" x14ac:dyDescent="0.35">
      <c r="A647" s="153"/>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15.75" customHeight="1" x14ac:dyDescent="0.35">
      <c r="A648" s="153"/>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15.75" customHeight="1" x14ac:dyDescent="0.35">
      <c r="A649" s="153"/>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15.75" customHeight="1" x14ac:dyDescent="0.35">
      <c r="A650" s="153"/>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15.75" customHeight="1" x14ac:dyDescent="0.35">
      <c r="A651" s="153"/>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15.75" customHeight="1" x14ac:dyDescent="0.35">
      <c r="A652" s="153"/>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15.75" customHeight="1" x14ac:dyDescent="0.35">
      <c r="A653" s="153"/>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15.75" customHeight="1" x14ac:dyDescent="0.35">
      <c r="A654" s="153"/>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15.75" customHeight="1" x14ac:dyDescent="0.35">
      <c r="A655" s="153"/>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15.75" customHeight="1" x14ac:dyDescent="0.35">
      <c r="A656" s="153"/>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15.75" customHeight="1" x14ac:dyDescent="0.35">
      <c r="A657" s="153"/>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15.75" customHeight="1" x14ac:dyDescent="0.35">
      <c r="A658" s="153"/>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15.75" customHeight="1" x14ac:dyDescent="0.35">
      <c r="A659" s="153"/>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15.75" customHeight="1" x14ac:dyDescent="0.35">
      <c r="A660" s="153"/>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15.75" customHeight="1" x14ac:dyDescent="0.35">
      <c r="A661" s="153"/>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15.75" customHeight="1" x14ac:dyDescent="0.35">
      <c r="A662" s="153"/>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15.75" customHeight="1" x14ac:dyDescent="0.35">
      <c r="A663" s="153"/>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15.75" customHeight="1" x14ac:dyDescent="0.35">
      <c r="A664" s="153"/>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15.75" customHeight="1" x14ac:dyDescent="0.35">
      <c r="A665" s="153"/>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15.75" customHeight="1" x14ac:dyDescent="0.35">
      <c r="A666" s="153"/>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15.75" customHeight="1" x14ac:dyDescent="0.35">
      <c r="A667" s="153"/>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15.75" customHeight="1" x14ac:dyDescent="0.35">
      <c r="A668" s="153"/>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15.75" customHeight="1" x14ac:dyDescent="0.35">
      <c r="A669" s="153"/>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15.75" customHeight="1" x14ac:dyDescent="0.35">
      <c r="A670" s="153"/>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15.75" customHeight="1" x14ac:dyDescent="0.35">
      <c r="A671" s="153"/>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15.75" customHeight="1" x14ac:dyDescent="0.35">
      <c r="A672" s="153"/>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15.75" customHeight="1" x14ac:dyDescent="0.35">
      <c r="A673" s="153"/>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15.75" customHeight="1" x14ac:dyDescent="0.35">
      <c r="A674" s="153"/>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15.75" customHeight="1" x14ac:dyDescent="0.35">
      <c r="A675" s="153"/>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15.75" customHeight="1" x14ac:dyDescent="0.35">
      <c r="A676" s="153"/>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15.75" customHeight="1" x14ac:dyDescent="0.35">
      <c r="A677" s="153"/>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15.75" customHeight="1" x14ac:dyDescent="0.35">
      <c r="A678" s="153"/>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15.75" customHeight="1" x14ac:dyDescent="0.35">
      <c r="A679" s="153"/>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15.75" customHeight="1" x14ac:dyDescent="0.35">
      <c r="A680" s="153"/>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15.75" customHeight="1" x14ac:dyDescent="0.35">
      <c r="A681" s="153"/>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15.75" customHeight="1" x14ac:dyDescent="0.35">
      <c r="A682" s="153"/>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15.75" customHeight="1" x14ac:dyDescent="0.35">
      <c r="A683" s="153"/>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15.75" customHeight="1" x14ac:dyDescent="0.35">
      <c r="A684" s="153"/>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15.75" customHeight="1" x14ac:dyDescent="0.35">
      <c r="A685" s="153"/>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15.75" customHeight="1" x14ac:dyDescent="0.35">
      <c r="A686" s="153"/>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15.75" customHeight="1" x14ac:dyDescent="0.35">
      <c r="A687" s="153"/>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15.75" customHeight="1" x14ac:dyDescent="0.35">
      <c r="A688" s="153"/>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15.75" customHeight="1" x14ac:dyDescent="0.35">
      <c r="A689" s="153"/>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15.75" customHeight="1" x14ac:dyDescent="0.35">
      <c r="A690" s="153"/>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15.75" customHeight="1" x14ac:dyDescent="0.35">
      <c r="A691" s="153"/>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15.75" customHeight="1" x14ac:dyDescent="0.35">
      <c r="A692" s="153"/>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15.75" customHeight="1" x14ac:dyDescent="0.35">
      <c r="A693" s="153"/>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15.75" customHeight="1" x14ac:dyDescent="0.35">
      <c r="A694" s="153"/>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15.75" customHeight="1" x14ac:dyDescent="0.35">
      <c r="A695" s="153"/>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15.75" customHeight="1" x14ac:dyDescent="0.35">
      <c r="A696" s="153"/>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15.75" customHeight="1" x14ac:dyDescent="0.35">
      <c r="A697" s="153"/>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15.75" customHeight="1" x14ac:dyDescent="0.35">
      <c r="A698" s="153"/>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15.75" customHeight="1" x14ac:dyDescent="0.35">
      <c r="A699" s="153"/>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15.75" customHeight="1" x14ac:dyDescent="0.35">
      <c r="A700" s="153"/>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15.75" customHeight="1" x14ac:dyDescent="0.35">
      <c r="A701" s="153"/>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15.75" customHeight="1" x14ac:dyDescent="0.35">
      <c r="A702" s="153"/>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15.75" customHeight="1" x14ac:dyDescent="0.35">
      <c r="A703" s="153"/>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15.75" customHeight="1" x14ac:dyDescent="0.35">
      <c r="A704" s="153"/>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15.75" customHeight="1" x14ac:dyDescent="0.35">
      <c r="A705" s="153"/>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15.75" customHeight="1" x14ac:dyDescent="0.35">
      <c r="A706" s="153"/>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15.75" customHeight="1" x14ac:dyDescent="0.35">
      <c r="A707" s="153"/>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15.75" customHeight="1" x14ac:dyDescent="0.35">
      <c r="A708" s="153"/>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15.75" customHeight="1" x14ac:dyDescent="0.35">
      <c r="A709" s="153"/>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15.75" customHeight="1" x14ac:dyDescent="0.35">
      <c r="A710" s="153"/>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15.75" customHeight="1" x14ac:dyDescent="0.35">
      <c r="A711" s="153"/>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15.75" customHeight="1" x14ac:dyDescent="0.35">
      <c r="A712" s="153"/>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15.75" customHeight="1" x14ac:dyDescent="0.35">
      <c r="A713" s="153"/>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15.75" customHeight="1" x14ac:dyDescent="0.35">
      <c r="A714" s="153"/>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15.75" customHeight="1" x14ac:dyDescent="0.35">
      <c r="A715" s="153"/>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15.75" customHeight="1" x14ac:dyDescent="0.35">
      <c r="A716" s="153"/>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15.75" customHeight="1" x14ac:dyDescent="0.35">
      <c r="A717" s="153"/>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15.75" customHeight="1" x14ac:dyDescent="0.35">
      <c r="A718" s="153"/>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15.75" customHeight="1" x14ac:dyDescent="0.35">
      <c r="A719" s="153"/>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15.75" customHeight="1" x14ac:dyDescent="0.35">
      <c r="A720" s="153"/>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15.75" customHeight="1" x14ac:dyDescent="0.35">
      <c r="A721" s="153"/>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15.75" customHeight="1" x14ac:dyDescent="0.35">
      <c r="A722" s="153"/>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15.75" customHeight="1" x14ac:dyDescent="0.35">
      <c r="A723" s="153"/>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15.75" customHeight="1" x14ac:dyDescent="0.35">
      <c r="A724" s="153"/>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15.75" customHeight="1" x14ac:dyDescent="0.35">
      <c r="A725" s="153"/>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15.75" customHeight="1" x14ac:dyDescent="0.35">
      <c r="A726" s="153"/>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15.75" customHeight="1" x14ac:dyDescent="0.35">
      <c r="A727" s="153"/>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15.75" customHeight="1" x14ac:dyDescent="0.35">
      <c r="A728" s="153"/>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15.75" customHeight="1" x14ac:dyDescent="0.35">
      <c r="A729" s="153"/>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15.75" customHeight="1" x14ac:dyDescent="0.35">
      <c r="A730" s="153"/>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15.75" customHeight="1" x14ac:dyDescent="0.35">
      <c r="A731" s="153"/>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15.75" customHeight="1" x14ac:dyDescent="0.35">
      <c r="A732" s="153"/>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15.75" customHeight="1" x14ac:dyDescent="0.35">
      <c r="A733" s="153"/>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15.75" customHeight="1" x14ac:dyDescent="0.35">
      <c r="A734" s="153"/>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15.75" customHeight="1" x14ac:dyDescent="0.35">
      <c r="A735" s="153"/>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15.75" customHeight="1" x14ac:dyDescent="0.35">
      <c r="A736" s="153"/>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15.75" customHeight="1" x14ac:dyDescent="0.35">
      <c r="A737" s="153"/>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15.75" customHeight="1" x14ac:dyDescent="0.35">
      <c r="A738" s="153"/>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15.75" customHeight="1" x14ac:dyDescent="0.35">
      <c r="A739" s="153"/>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15.75" customHeight="1" x14ac:dyDescent="0.35">
      <c r="A740" s="153"/>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15.75" customHeight="1" x14ac:dyDescent="0.35">
      <c r="A741" s="153"/>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15.75" customHeight="1" x14ac:dyDescent="0.35">
      <c r="A742" s="153"/>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15.75" customHeight="1" x14ac:dyDescent="0.35">
      <c r="A743" s="153"/>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15.75" customHeight="1" x14ac:dyDescent="0.35">
      <c r="A744" s="153"/>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15.75" customHeight="1" x14ac:dyDescent="0.35">
      <c r="A745" s="153"/>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15.75" customHeight="1" x14ac:dyDescent="0.35">
      <c r="A746" s="153"/>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15.75" customHeight="1" x14ac:dyDescent="0.35">
      <c r="A747" s="153"/>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15.75" customHeight="1" x14ac:dyDescent="0.35">
      <c r="A748" s="153"/>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15.75" customHeight="1" x14ac:dyDescent="0.35">
      <c r="A749" s="153"/>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15.75" customHeight="1" x14ac:dyDescent="0.35">
      <c r="A750" s="153"/>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15.75" customHeight="1" x14ac:dyDescent="0.35">
      <c r="A751" s="153"/>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15.75" customHeight="1" x14ac:dyDescent="0.35">
      <c r="A752" s="153"/>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15.75" customHeight="1" x14ac:dyDescent="0.35">
      <c r="A753" s="153"/>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15.75" customHeight="1" x14ac:dyDescent="0.35">
      <c r="A754" s="153"/>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15.75" customHeight="1" x14ac:dyDescent="0.35">
      <c r="A755" s="153"/>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15.75" customHeight="1" x14ac:dyDescent="0.35">
      <c r="A756" s="153"/>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15.75" customHeight="1" x14ac:dyDescent="0.35">
      <c r="A757" s="153"/>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15.75" customHeight="1" x14ac:dyDescent="0.35">
      <c r="A758" s="153"/>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15.75" customHeight="1" x14ac:dyDescent="0.35">
      <c r="A759" s="153"/>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15.75" customHeight="1" x14ac:dyDescent="0.35">
      <c r="A760" s="153"/>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15.75" customHeight="1" x14ac:dyDescent="0.35">
      <c r="A761" s="153"/>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15.75" customHeight="1" x14ac:dyDescent="0.35">
      <c r="A762" s="153"/>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15.75" customHeight="1" x14ac:dyDescent="0.35">
      <c r="A763" s="153"/>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15.75" customHeight="1" x14ac:dyDescent="0.35">
      <c r="A764" s="153"/>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15.75" customHeight="1" x14ac:dyDescent="0.35">
      <c r="A765" s="153"/>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15.75" customHeight="1" x14ac:dyDescent="0.35">
      <c r="A766" s="153"/>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15.75" customHeight="1" x14ac:dyDescent="0.35">
      <c r="A767" s="153"/>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15.75" customHeight="1" x14ac:dyDescent="0.35">
      <c r="A768" s="153"/>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15.75" customHeight="1" x14ac:dyDescent="0.35">
      <c r="A769" s="153"/>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15.75" customHeight="1" x14ac:dyDescent="0.35">
      <c r="A770" s="153"/>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15.75" customHeight="1" x14ac:dyDescent="0.35">
      <c r="A771" s="153"/>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15.75" customHeight="1" x14ac:dyDescent="0.35">
      <c r="A772" s="153"/>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15.75" customHeight="1" x14ac:dyDescent="0.35">
      <c r="A773" s="153"/>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15.75" customHeight="1" x14ac:dyDescent="0.35">
      <c r="A774" s="153"/>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15.75" customHeight="1" x14ac:dyDescent="0.35">
      <c r="A775" s="153"/>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15.75" customHeight="1" x14ac:dyDescent="0.35">
      <c r="A776" s="153"/>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15.75" customHeight="1" x14ac:dyDescent="0.35">
      <c r="A777" s="153"/>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15.75" customHeight="1" x14ac:dyDescent="0.35">
      <c r="A778" s="153"/>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15.75" customHeight="1" x14ac:dyDescent="0.35">
      <c r="A779" s="153"/>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15.75" customHeight="1" x14ac:dyDescent="0.35">
      <c r="A780" s="153"/>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15.75" customHeight="1" x14ac:dyDescent="0.35">
      <c r="A781" s="153"/>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15.75" customHeight="1" x14ac:dyDescent="0.35">
      <c r="A782" s="153"/>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15.75" customHeight="1" x14ac:dyDescent="0.35">
      <c r="A783" s="153"/>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15.75" customHeight="1" x14ac:dyDescent="0.35">
      <c r="A784" s="153"/>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15.75" customHeight="1" x14ac:dyDescent="0.35">
      <c r="A785" s="153"/>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15.75" customHeight="1" x14ac:dyDescent="0.35">
      <c r="A786" s="153"/>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15.75" customHeight="1" x14ac:dyDescent="0.35">
      <c r="A787" s="153"/>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15.75" customHeight="1" x14ac:dyDescent="0.35">
      <c r="A788" s="153"/>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15.75" customHeight="1" x14ac:dyDescent="0.35">
      <c r="A789" s="153"/>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15.75" customHeight="1" x14ac:dyDescent="0.35">
      <c r="A790" s="153"/>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15.75" customHeight="1" x14ac:dyDescent="0.35">
      <c r="A791" s="153"/>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15.75" customHeight="1" x14ac:dyDescent="0.35">
      <c r="A792" s="153"/>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15.75" customHeight="1" x14ac:dyDescent="0.35">
      <c r="A793" s="153"/>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15.75" customHeight="1" x14ac:dyDescent="0.35">
      <c r="A794" s="153"/>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15.75" customHeight="1" x14ac:dyDescent="0.35">
      <c r="A795" s="153"/>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15.75" customHeight="1" x14ac:dyDescent="0.35">
      <c r="A796" s="153"/>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15.75" customHeight="1" x14ac:dyDescent="0.35">
      <c r="A797" s="153"/>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15.75" customHeight="1" x14ac:dyDescent="0.35">
      <c r="A798" s="153"/>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15.75" customHeight="1" x14ac:dyDescent="0.35">
      <c r="A799" s="153"/>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15.75" customHeight="1" x14ac:dyDescent="0.35">
      <c r="A800" s="153"/>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15.75" customHeight="1" x14ac:dyDescent="0.35">
      <c r="A801" s="153"/>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15.75" customHeight="1" x14ac:dyDescent="0.35">
      <c r="A802" s="153"/>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15.75" customHeight="1" x14ac:dyDescent="0.35">
      <c r="A803" s="153"/>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15.75" customHeight="1" x14ac:dyDescent="0.35">
      <c r="A804" s="153"/>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15.75" customHeight="1" x14ac:dyDescent="0.35">
      <c r="A805" s="153"/>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15.75" customHeight="1" x14ac:dyDescent="0.35">
      <c r="A806" s="153"/>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15.75" customHeight="1" x14ac:dyDescent="0.35">
      <c r="A807" s="153"/>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15.75" customHeight="1" x14ac:dyDescent="0.35">
      <c r="A808" s="153"/>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15.75" customHeight="1" x14ac:dyDescent="0.35">
      <c r="A809" s="153"/>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15.75" customHeight="1" x14ac:dyDescent="0.35">
      <c r="A810" s="153"/>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15.75" customHeight="1" x14ac:dyDescent="0.35">
      <c r="A811" s="153"/>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15.75" customHeight="1" x14ac:dyDescent="0.35">
      <c r="A812" s="153"/>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15.75" customHeight="1" x14ac:dyDescent="0.35">
      <c r="A813" s="153"/>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15.75" customHeight="1" x14ac:dyDescent="0.35">
      <c r="A814" s="153"/>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15.75" customHeight="1" x14ac:dyDescent="0.35">
      <c r="A815" s="153"/>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15.75" customHeight="1" x14ac:dyDescent="0.35">
      <c r="A816" s="153"/>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15.75" customHeight="1" x14ac:dyDescent="0.35">
      <c r="A817" s="153"/>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15.75" customHeight="1" x14ac:dyDescent="0.35">
      <c r="A818" s="153"/>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15.75" customHeight="1" x14ac:dyDescent="0.35">
      <c r="A819" s="153"/>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15.75" customHeight="1" x14ac:dyDescent="0.35">
      <c r="A820" s="153"/>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15.75" customHeight="1" x14ac:dyDescent="0.35">
      <c r="A821" s="153"/>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15.75" customHeight="1" x14ac:dyDescent="0.35">
      <c r="A822" s="153"/>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15.75" customHeight="1" x14ac:dyDescent="0.35">
      <c r="A823" s="153"/>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15.75" customHeight="1" x14ac:dyDescent="0.35">
      <c r="A824" s="153"/>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15.75" customHeight="1" x14ac:dyDescent="0.35">
      <c r="A825" s="153"/>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15.75" customHeight="1" x14ac:dyDescent="0.35">
      <c r="A826" s="153"/>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15.75" customHeight="1" x14ac:dyDescent="0.35">
      <c r="A827" s="153"/>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15.75" customHeight="1" x14ac:dyDescent="0.35">
      <c r="A828" s="153"/>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15.75" customHeight="1" x14ac:dyDescent="0.35">
      <c r="A829" s="153"/>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15.75" customHeight="1" x14ac:dyDescent="0.35">
      <c r="A830" s="153"/>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15.75" customHeight="1" x14ac:dyDescent="0.35">
      <c r="A831" s="153"/>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15.75" customHeight="1" x14ac:dyDescent="0.35">
      <c r="A832" s="153"/>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15.75" customHeight="1" x14ac:dyDescent="0.35">
      <c r="A833" s="153"/>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15.75" customHeight="1" x14ac:dyDescent="0.35">
      <c r="A834" s="153"/>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15.75" customHeight="1" x14ac:dyDescent="0.35">
      <c r="A835" s="153"/>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15.75" customHeight="1" x14ac:dyDescent="0.35">
      <c r="A836" s="153"/>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15.75" customHeight="1" x14ac:dyDescent="0.35">
      <c r="A837" s="153"/>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15.75" customHeight="1" x14ac:dyDescent="0.35">
      <c r="A838" s="153"/>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15.75" customHeight="1" x14ac:dyDescent="0.35">
      <c r="A839" s="153"/>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15.75" customHeight="1" x14ac:dyDescent="0.35">
      <c r="A840" s="153"/>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15.75" customHeight="1" x14ac:dyDescent="0.35">
      <c r="A841" s="153"/>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15.75" customHeight="1" x14ac:dyDescent="0.35">
      <c r="A842" s="153"/>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15.75" customHeight="1" x14ac:dyDescent="0.35">
      <c r="A843" s="153"/>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15.75" customHeight="1" x14ac:dyDescent="0.35">
      <c r="A844" s="153"/>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15.75" customHeight="1" x14ac:dyDescent="0.35">
      <c r="A845" s="153"/>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15.75" customHeight="1" x14ac:dyDescent="0.35">
      <c r="A846" s="153"/>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15.75" customHeight="1" x14ac:dyDescent="0.35">
      <c r="A847" s="153"/>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15.75" customHeight="1" x14ac:dyDescent="0.35">
      <c r="A848" s="153"/>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15.75" customHeight="1" x14ac:dyDescent="0.35">
      <c r="A849" s="153"/>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15.75" customHeight="1" x14ac:dyDescent="0.35">
      <c r="A850" s="153"/>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15.75" customHeight="1" x14ac:dyDescent="0.35">
      <c r="A851" s="153"/>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15.75" customHeight="1" x14ac:dyDescent="0.35">
      <c r="A852" s="153"/>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15.75" customHeight="1" x14ac:dyDescent="0.35">
      <c r="A853" s="153"/>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15.75" customHeight="1" x14ac:dyDescent="0.35">
      <c r="A854" s="153"/>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15.75" customHeight="1" x14ac:dyDescent="0.35">
      <c r="A855" s="153"/>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15.75" customHeight="1" x14ac:dyDescent="0.35">
      <c r="A856" s="153"/>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15.75" customHeight="1" x14ac:dyDescent="0.35">
      <c r="A857" s="153"/>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15.75" customHeight="1" x14ac:dyDescent="0.35">
      <c r="A858" s="153"/>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15.75" customHeight="1" x14ac:dyDescent="0.35">
      <c r="A859" s="153"/>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15.75" customHeight="1" x14ac:dyDescent="0.35">
      <c r="A860" s="153"/>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15.75" customHeight="1" x14ac:dyDescent="0.35">
      <c r="A861" s="153"/>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15.75" customHeight="1" x14ac:dyDescent="0.35">
      <c r="A862" s="153"/>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15.75" customHeight="1" x14ac:dyDescent="0.35">
      <c r="A863" s="153"/>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15.75" customHeight="1" x14ac:dyDescent="0.35">
      <c r="A864" s="153"/>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15.75" customHeight="1" x14ac:dyDescent="0.35">
      <c r="A865" s="153"/>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15.75" customHeight="1" x14ac:dyDescent="0.35">
      <c r="A866" s="153"/>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15.75" customHeight="1" x14ac:dyDescent="0.35">
      <c r="A867" s="153"/>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15.75" customHeight="1" x14ac:dyDescent="0.35">
      <c r="A868" s="153"/>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15.75" customHeight="1" x14ac:dyDescent="0.35">
      <c r="A869" s="153"/>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15.75" customHeight="1" x14ac:dyDescent="0.35">
      <c r="A870" s="153"/>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15.75" customHeight="1" x14ac:dyDescent="0.35">
      <c r="A871" s="153"/>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15.75" customHeight="1" x14ac:dyDescent="0.35">
      <c r="A872" s="153"/>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15.75" customHeight="1" x14ac:dyDescent="0.35">
      <c r="A873" s="153"/>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15.75" customHeight="1" x14ac:dyDescent="0.35">
      <c r="A874" s="153"/>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15.75" customHeight="1" x14ac:dyDescent="0.35">
      <c r="A875" s="153"/>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15.75" customHeight="1" x14ac:dyDescent="0.35">
      <c r="A876" s="153"/>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15.75" customHeight="1" x14ac:dyDescent="0.35">
      <c r="A877" s="153"/>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15.75" customHeight="1" x14ac:dyDescent="0.35">
      <c r="A878" s="153"/>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15.75" customHeight="1" x14ac:dyDescent="0.35">
      <c r="A879" s="153"/>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15.75" customHeight="1" x14ac:dyDescent="0.35">
      <c r="A880" s="153"/>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15.75" customHeight="1" x14ac:dyDescent="0.35">
      <c r="A881" s="153"/>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15.75" customHeight="1" x14ac:dyDescent="0.35">
      <c r="A882" s="153"/>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15.75" customHeight="1" x14ac:dyDescent="0.35">
      <c r="A883" s="153"/>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15.75" customHeight="1" x14ac:dyDescent="0.35">
      <c r="A884" s="153"/>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15.75" customHeight="1" x14ac:dyDescent="0.35">
      <c r="A885" s="153"/>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15.75" customHeight="1" x14ac:dyDescent="0.35">
      <c r="A886" s="153"/>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15.75" customHeight="1" x14ac:dyDescent="0.35">
      <c r="A887" s="153"/>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15.75" customHeight="1" x14ac:dyDescent="0.35">
      <c r="A888" s="153"/>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15.75" customHeight="1" x14ac:dyDescent="0.35">
      <c r="A889" s="153"/>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15.75" customHeight="1" x14ac:dyDescent="0.35">
      <c r="A890" s="153"/>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15.75" customHeight="1" x14ac:dyDescent="0.35">
      <c r="A891" s="153"/>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15.75" customHeight="1" x14ac:dyDescent="0.35">
      <c r="A892" s="153"/>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15.75" customHeight="1" x14ac:dyDescent="0.35">
      <c r="A893" s="153"/>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15.75" customHeight="1" x14ac:dyDescent="0.35">
      <c r="A894" s="153"/>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15.75" customHeight="1" x14ac:dyDescent="0.35">
      <c r="A895" s="153"/>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15.75" customHeight="1" x14ac:dyDescent="0.35">
      <c r="A896" s="153"/>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15.75" customHeight="1" x14ac:dyDescent="0.35">
      <c r="A897" s="153"/>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15.75" customHeight="1" x14ac:dyDescent="0.35">
      <c r="A898" s="153"/>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15.75" customHeight="1" x14ac:dyDescent="0.35">
      <c r="A899" s="153"/>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15.75" customHeight="1" x14ac:dyDescent="0.35">
      <c r="A900" s="153"/>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15.75" customHeight="1" x14ac:dyDescent="0.35">
      <c r="A901" s="153"/>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15.75" customHeight="1" x14ac:dyDescent="0.35">
      <c r="A902" s="153"/>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15.75" customHeight="1" x14ac:dyDescent="0.35">
      <c r="A903" s="153"/>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15.75" customHeight="1" x14ac:dyDescent="0.35">
      <c r="A904" s="153"/>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15.75" customHeight="1" x14ac:dyDescent="0.35">
      <c r="A905" s="153"/>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15.75" customHeight="1" x14ac:dyDescent="0.35">
      <c r="A906" s="153"/>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15.75" customHeight="1" x14ac:dyDescent="0.35">
      <c r="A907" s="153"/>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15.75" customHeight="1" x14ac:dyDescent="0.35">
      <c r="A908" s="153"/>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15.75" customHeight="1" x14ac:dyDescent="0.35">
      <c r="A909" s="153"/>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15.75" customHeight="1" x14ac:dyDescent="0.35">
      <c r="A910" s="153"/>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15.75" customHeight="1" x14ac:dyDescent="0.35">
      <c r="A911" s="153"/>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15.75" customHeight="1" x14ac:dyDescent="0.35">
      <c r="A912" s="153"/>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15.75" customHeight="1" x14ac:dyDescent="0.35">
      <c r="A913" s="153"/>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15.75" customHeight="1" x14ac:dyDescent="0.35">
      <c r="A914" s="153"/>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15.75" customHeight="1" x14ac:dyDescent="0.35">
      <c r="A915" s="153"/>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15.75" customHeight="1" x14ac:dyDescent="0.35">
      <c r="A916" s="153"/>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15.75" customHeight="1" x14ac:dyDescent="0.35">
      <c r="A917" s="153"/>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15.75" customHeight="1" x14ac:dyDescent="0.35">
      <c r="A918" s="153"/>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15.75" customHeight="1" x14ac:dyDescent="0.35">
      <c r="A919" s="153"/>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15.75" customHeight="1" x14ac:dyDescent="0.35">
      <c r="A920" s="153"/>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15.75" customHeight="1" x14ac:dyDescent="0.35">
      <c r="A921" s="153"/>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15.75" customHeight="1" x14ac:dyDescent="0.35">
      <c r="A922" s="153"/>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15.75" customHeight="1" x14ac:dyDescent="0.35">
      <c r="A923" s="153"/>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15.75" customHeight="1" x14ac:dyDescent="0.35">
      <c r="A924" s="153"/>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15.75" customHeight="1" x14ac:dyDescent="0.35">
      <c r="A925" s="153"/>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15.75" customHeight="1" x14ac:dyDescent="0.35">
      <c r="A926" s="153"/>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15.75" customHeight="1" x14ac:dyDescent="0.35">
      <c r="A927" s="153"/>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15.75" customHeight="1" x14ac:dyDescent="0.35">
      <c r="A928" s="153"/>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15.75" customHeight="1" x14ac:dyDescent="0.35">
      <c r="A929" s="153"/>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15.75" customHeight="1" x14ac:dyDescent="0.35">
      <c r="A930" s="153"/>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15.75" customHeight="1" x14ac:dyDescent="0.35">
      <c r="A931" s="153"/>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15.75" customHeight="1" x14ac:dyDescent="0.35">
      <c r="A932" s="153"/>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15.75" customHeight="1" x14ac:dyDescent="0.35">
      <c r="A933" s="153"/>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15.75" customHeight="1" x14ac:dyDescent="0.35">
      <c r="A934" s="153"/>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15.75" customHeight="1" x14ac:dyDescent="0.35">
      <c r="A935" s="153"/>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15.75" customHeight="1" x14ac:dyDescent="0.35">
      <c r="A936" s="153"/>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15.75" customHeight="1" x14ac:dyDescent="0.35">
      <c r="A937" s="153"/>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15.75" customHeight="1" x14ac:dyDescent="0.35">
      <c r="A938" s="153"/>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15.75" customHeight="1" x14ac:dyDescent="0.35">
      <c r="A939" s="153"/>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15.75" customHeight="1" x14ac:dyDescent="0.35">
      <c r="A940" s="153"/>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15.75" customHeight="1" x14ac:dyDescent="0.35">
      <c r="A941" s="153"/>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15.75" customHeight="1" x14ac:dyDescent="0.35">
      <c r="A942" s="153"/>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15.75" customHeight="1" x14ac:dyDescent="0.35">
      <c r="A943" s="153"/>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15.75" customHeight="1" x14ac:dyDescent="0.35">
      <c r="A944" s="153"/>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15.75" customHeight="1" x14ac:dyDescent="0.35">
      <c r="A945" s="153"/>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15.75" customHeight="1" x14ac:dyDescent="0.35">
      <c r="A946" s="153"/>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15.75" customHeight="1" x14ac:dyDescent="0.35">
      <c r="A947" s="153"/>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15.75" customHeight="1" x14ac:dyDescent="0.35">
      <c r="A948" s="153"/>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15.75" customHeight="1" x14ac:dyDescent="0.35">
      <c r="A949" s="153"/>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15.75" customHeight="1" x14ac:dyDescent="0.35">
      <c r="A950" s="153"/>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15.75" customHeight="1" x14ac:dyDescent="0.35">
      <c r="A951" s="153"/>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15.75" customHeight="1" x14ac:dyDescent="0.35">
      <c r="A952" s="153"/>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15.75" customHeight="1" x14ac:dyDescent="0.35">
      <c r="A953" s="153"/>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15.75" customHeight="1" x14ac:dyDescent="0.35">
      <c r="A954" s="153"/>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15.75" customHeight="1" x14ac:dyDescent="0.35">
      <c r="A955" s="153"/>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15.75" customHeight="1" x14ac:dyDescent="0.35">
      <c r="A956" s="153"/>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15.75" customHeight="1" x14ac:dyDescent="0.35">
      <c r="A957" s="153"/>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15.75" customHeight="1" x14ac:dyDescent="0.35">
      <c r="A958" s="153"/>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15.75" customHeight="1" x14ac:dyDescent="0.35">
      <c r="A959" s="153"/>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15.75" customHeight="1" x14ac:dyDescent="0.35">
      <c r="A960" s="153"/>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15.75" customHeight="1" x14ac:dyDescent="0.35">
      <c r="A961" s="153"/>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15.75" customHeight="1" x14ac:dyDescent="0.35">
      <c r="A962" s="153"/>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15.75" customHeight="1" x14ac:dyDescent="0.35">
      <c r="A963" s="153"/>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15.75" customHeight="1" x14ac:dyDescent="0.35">
      <c r="A964" s="153"/>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15.75" customHeight="1" x14ac:dyDescent="0.35">
      <c r="A965" s="153"/>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15.75" customHeight="1" x14ac:dyDescent="0.35">
      <c r="A966" s="153"/>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15.75" customHeight="1" x14ac:dyDescent="0.35">
      <c r="A967" s="153"/>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15.75" customHeight="1" x14ac:dyDescent="0.35">
      <c r="A968" s="153"/>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15.75" customHeight="1" x14ac:dyDescent="0.35">
      <c r="A969" s="153"/>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15.75" customHeight="1" x14ac:dyDescent="0.35">
      <c r="A970" s="153"/>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15.75" customHeight="1" x14ac:dyDescent="0.35">
      <c r="A971" s="153"/>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15.75" customHeight="1" x14ac:dyDescent="0.35">
      <c r="A972" s="153"/>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15.75" customHeight="1" x14ac:dyDescent="0.35">
      <c r="A973" s="153"/>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15.75" customHeight="1" x14ac:dyDescent="0.35">
      <c r="A974" s="153"/>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15.75" customHeight="1" x14ac:dyDescent="0.35">
      <c r="A975" s="153"/>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15.75" customHeight="1" x14ac:dyDescent="0.35">
      <c r="A976" s="153"/>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15.75" customHeight="1" x14ac:dyDescent="0.35">
      <c r="A977" s="153"/>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15.75" customHeight="1" x14ac:dyDescent="0.35">
      <c r="A978" s="153"/>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15.75" customHeight="1" x14ac:dyDescent="0.35">
      <c r="A979" s="153"/>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15.75" customHeight="1" x14ac:dyDescent="0.35">
      <c r="A980" s="153"/>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15.75" customHeight="1" x14ac:dyDescent="0.35">
      <c r="A981" s="153"/>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15.75" customHeight="1" x14ac:dyDescent="0.35">
      <c r="A982" s="153"/>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15.75" customHeight="1" x14ac:dyDescent="0.35">
      <c r="A983" s="153"/>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15.75" customHeight="1" x14ac:dyDescent="0.35">
      <c r="A984" s="153"/>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15.75" customHeight="1" x14ac:dyDescent="0.35">
      <c r="A985" s="153"/>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15.75" customHeight="1" x14ac:dyDescent="0.35">
      <c r="A986" s="153"/>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15.75" customHeight="1" x14ac:dyDescent="0.35">
      <c r="A987" s="153"/>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15.75" customHeight="1" x14ac:dyDescent="0.35">
      <c r="A988" s="153"/>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15.75" customHeight="1" x14ac:dyDescent="0.35">
      <c r="A989" s="153"/>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15.75" customHeight="1" x14ac:dyDescent="0.35">
      <c r="A990" s="153"/>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15.75" customHeight="1" x14ac:dyDescent="0.35">
      <c r="A991" s="153"/>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15.75" customHeight="1" x14ac:dyDescent="0.35">
      <c r="A992" s="153"/>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15.75" customHeight="1" x14ac:dyDescent="0.35">
      <c r="A993" s="153"/>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15.75" customHeight="1" x14ac:dyDescent="0.35">
      <c r="A994" s="153"/>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15.75" customHeight="1" x14ac:dyDescent="0.35">
      <c r="A995" s="153"/>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15.75" customHeight="1" x14ac:dyDescent="0.35">
      <c r="A996" s="153"/>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15.75" customHeight="1" x14ac:dyDescent="0.35">
      <c r="A997" s="153"/>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15.75" customHeight="1" x14ac:dyDescent="0.35">
      <c r="A998" s="153"/>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sheetData>
  <mergeCells count="13">
    <mergeCell ref="B21:O21"/>
    <mergeCell ref="C26:H26"/>
    <mergeCell ref="C28:H28"/>
    <mergeCell ref="C27:H27"/>
    <mergeCell ref="C37:H37"/>
    <mergeCell ref="C32:H32"/>
    <mergeCell ref="C33:H33"/>
    <mergeCell ref="C34:H34"/>
    <mergeCell ref="C29:H29"/>
    <mergeCell ref="C30:H30"/>
    <mergeCell ref="C31:H31"/>
    <mergeCell ref="C35:H35"/>
    <mergeCell ref="C36:H36"/>
  </mergeCells>
  <pageMargins left="0.7" right="0.7" top="0.75" bottom="0.75" header="0" footer="0"/>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B4C3-1B9C-423F-916D-CE79E1ECC765}">
  <sheetPr>
    <tabColor theme="9" tint="-0.249977111117893"/>
  </sheetPr>
  <dimension ref="B1:H53"/>
  <sheetViews>
    <sheetView showGridLines="0" zoomScaleNormal="100" workbookViewId="0"/>
  </sheetViews>
  <sheetFormatPr defaultRowHeight="13" x14ac:dyDescent="0.3"/>
  <cols>
    <col min="1" max="1" width="3.36328125" style="87" customWidth="1"/>
    <col min="2" max="2" width="69.6328125" style="89" customWidth="1"/>
    <col min="3" max="3" width="22.81640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98" t="s">
        <v>102</v>
      </c>
      <c r="C2" s="85"/>
    </row>
    <row r="3" spans="2:8" x14ac:dyDescent="0.3">
      <c r="B3" s="88" t="s">
        <v>218</v>
      </c>
      <c r="C3" s="88"/>
    </row>
    <row r="4" spans="2:8" x14ac:dyDescent="0.3">
      <c r="B4" s="81" t="s">
        <v>73</v>
      </c>
      <c r="C4" s="81"/>
    </row>
    <row r="6" spans="2:8" s="90" customFormat="1" x14ac:dyDescent="0.3">
      <c r="B6" s="85" t="s">
        <v>204</v>
      </c>
      <c r="C6" s="85"/>
      <c r="D6" s="89"/>
      <c r="E6" s="89"/>
      <c r="F6" s="89"/>
    </row>
    <row r="7" spans="2:8" s="90" customFormat="1" x14ac:dyDescent="0.3">
      <c r="B7" s="88" t="s">
        <v>217</v>
      </c>
      <c r="C7" s="88"/>
      <c r="D7" s="89"/>
      <c r="E7" s="89"/>
      <c r="F7" s="89"/>
    </row>
    <row r="8" spans="2:8" s="90" customFormat="1" ht="13.5" thickBot="1" x14ac:dyDescent="0.35">
      <c r="B8" s="88"/>
      <c r="C8" s="88"/>
      <c r="D8" s="89"/>
      <c r="E8" s="89"/>
      <c r="F8" s="89"/>
    </row>
    <row r="9" spans="2:8" s="90" customFormat="1" x14ac:dyDescent="0.3">
      <c r="B9" s="15" t="s">
        <v>21</v>
      </c>
      <c r="C9" s="25" t="s">
        <v>82</v>
      </c>
      <c r="D9" s="25" t="s">
        <v>83</v>
      </c>
      <c r="E9" s="25" t="s">
        <v>84</v>
      </c>
      <c r="F9" s="25" t="s">
        <v>85</v>
      </c>
      <c r="G9" s="105" t="s">
        <v>86</v>
      </c>
      <c r="H9" s="35" t="s">
        <v>89</v>
      </c>
    </row>
    <row r="10" spans="2:8" s="90" customFormat="1" ht="14.5" x14ac:dyDescent="0.35">
      <c r="B10" s="16"/>
      <c r="C10" s="14"/>
      <c r="D10" s="14"/>
      <c r="E10" s="14"/>
      <c r="F10" s="14"/>
      <c r="G10" s="2"/>
      <c r="H10" s="36"/>
    </row>
    <row r="11" spans="2:8" s="90" customFormat="1" ht="14.5" x14ac:dyDescent="0.35">
      <c r="B11" s="17" t="s">
        <v>33</v>
      </c>
      <c r="C11" s="26"/>
      <c r="D11" s="26"/>
      <c r="E11" s="26"/>
      <c r="F11" s="26"/>
      <c r="G11" s="103"/>
      <c r="H11" s="37"/>
    </row>
    <row r="12" spans="2:8" s="90" customFormat="1" x14ac:dyDescent="0.3">
      <c r="B12" s="16" t="s">
        <v>150</v>
      </c>
      <c r="C12" s="42">
        <v>0</v>
      </c>
      <c r="D12" s="42">
        <v>3000000</v>
      </c>
      <c r="E12" s="42">
        <v>3500000</v>
      </c>
      <c r="F12" s="66">
        <f t="shared" ref="F12:H13" si="0">E12*(1+F$27)</f>
        <v>3605000</v>
      </c>
      <c r="G12" s="66">
        <f t="shared" si="0"/>
        <v>3713150</v>
      </c>
      <c r="H12" s="68">
        <f t="shared" si="0"/>
        <v>3824544.5</v>
      </c>
    </row>
    <row r="13" spans="2:8" s="90" customFormat="1" x14ac:dyDescent="0.3">
      <c r="B13" s="16" t="s">
        <v>136</v>
      </c>
      <c r="C13" s="42">
        <v>0</v>
      </c>
      <c r="D13" s="42">
        <v>0</v>
      </c>
      <c r="E13" s="42">
        <v>0</v>
      </c>
      <c r="F13" s="66">
        <f t="shared" si="0"/>
        <v>0</v>
      </c>
      <c r="G13" s="66">
        <f t="shared" si="0"/>
        <v>0</v>
      </c>
      <c r="H13" s="68">
        <f t="shared" si="0"/>
        <v>0</v>
      </c>
    </row>
    <row r="14" spans="2:8" s="90" customFormat="1" x14ac:dyDescent="0.3">
      <c r="B14" s="16"/>
      <c r="C14" s="42"/>
      <c r="D14" s="42"/>
      <c r="E14" s="42"/>
      <c r="F14" s="66"/>
      <c r="G14" s="66"/>
      <c r="H14" s="68"/>
    </row>
    <row r="15" spans="2:8" s="90" customFormat="1" ht="14.5" x14ac:dyDescent="0.35">
      <c r="B15" s="17" t="s">
        <v>1</v>
      </c>
      <c r="C15" s="43"/>
      <c r="D15" s="43"/>
      <c r="E15" s="43"/>
      <c r="F15" s="43"/>
      <c r="G15" s="103"/>
      <c r="H15" s="37"/>
    </row>
    <row r="16" spans="2:8" s="121" customFormat="1" ht="14.5" x14ac:dyDescent="0.35">
      <c r="B16" s="73" t="s">
        <v>154</v>
      </c>
      <c r="C16" s="46"/>
      <c r="D16" s="46"/>
      <c r="E16" s="46"/>
      <c r="F16" s="46"/>
      <c r="G16" s="104"/>
      <c r="H16" s="101"/>
    </row>
    <row r="17" spans="2:8" s="121" customFormat="1" x14ac:dyDescent="0.3">
      <c r="B17" s="18" t="s">
        <v>152</v>
      </c>
      <c r="C17" s="42">
        <v>100000</v>
      </c>
      <c r="D17" s="102">
        <v>0</v>
      </c>
      <c r="E17" s="102">
        <v>0</v>
      </c>
      <c r="F17" s="102">
        <v>0</v>
      </c>
      <c r="G17" s="102">
        <v>0</v>
      </c>
      <c r="H17" s="106">
        <v>0</v>
      </c>
    </row>
    <row r="18" spans="2:8" s="90" customFormat="1" x14ac:dyDescent="0.3">
      <c r="B18" s="18" t="s">
        <v>69</v>
      </c>
      <c r="C18" s="42">
        <v>0</v>
      </c>
      <c r="D18" s="42">
        <v>30000</v>
      </c>
      <c r="E18" s="42">
        <v>32000</v>
      </c>
      <c r="F18" s="66">
        <f t="shared" ref="F18:H24" si="1">E18*(1+F$27)</f>
        <v>32960</v>
      </c>
      <c r="G18" s="66">
        <f t="shared" si="1"/>
        <v>33948.800000000003</v>
      </c>
      <c r="H18" s="68">
        <f t="shared" si="1"/>
        <v>34967.264000000003</v>
      </c>
    </row>
    <row r="19" spans="2:8" s="90" customFormat="1" x14ac:dyDescent="0.3">
      <c r="B19" s="18" t="s">
        <v>17</v>
      </c>
      <c r="C19" s="42">
        <v>0</v>
      </c>
      <c r="D19" s="42">
        <v>105000</v>
      </c>
      <c r="E19" s="42">
        <v>110000</v>
      </c>
      <c r="F19" s="66">
        <f t="shared" si="1"/>
        <v>113300</v>
      </c>
      <c r="G19" s="66">
        <f t="shared" si="1"/>
        <v>116699</v>
      </c>
      <c r="H19" s="68">
        <f t="shared" si="1"/>
        <v>120199.97</v>
      </c>
    </row>
    <row r="20" spans="2:8" s="90" customFormat="1" x14ac:dyDescent="0.3">
      <c r="B20" s="18" t="s">
        <v>148</v>
      </c>
      <c r="C20" s="42">
        <v>0</v>
      </c>
      <c r="D20" s="42">
        <v>40000</v>
      </c>
      <c r="E20" s="42">
        <v>42000</v>
      </c>
      <c r="F20" s="66">
        <f t="shared" si="1"/>
        <v>43260</v>
      </c>
      <c r="G20" s="66">
        <f t="shared" si="1"/>
        <v>44557.8</v>
      </c>
      <c r="H20" s="68">
        <f t="shared" si="1"/>
        <v>45894.534000000007</v>
      </c>
    </row>
    <row r="21" spans="2:8" s="90" customFormat="1" ht="13.5" customHeight="1" x14ac:dyDescent="0.3">
      <c r="B21" s="18" t="s">
        <v>149</v>
      </c>
      <c r="C21" s="42">
        <v>0</v>
      </c>
      <c r="D21" s="42">
        <v>15000</v>
      </c>
      <c r="E21" s="42">
        <v>17000</v>
      </c>
      <c r="F21" s="66">
        <f t="shared" si="1"/>
        <v>17510</v>
      </c>
      <c r="G21" s="66">
        <f t="shared" si="1"/>
        <v>18035.3</v>
      </c>
      <c r="H21" s="68">
        <f t="shared" si="1"/>
        <v>18576.359</v>
      </c>
    </row>
    <row r="22" spans="2:8" s="90" customFormat="1" ht="14.5" customHeight="1" x14ac:dyDescent="0.3">
      <c r="B22" s="18" t="s">
        <v>209</v>
      </c>
      <c r="C22" s="42">
        <v>0</v>
      </c>
      <c r="D22" s="42">
        <v>9000</v>
      </c>
      <c r="E22" s="42">
        <v>12000</v>
      </c>
      <c r="F22" s="66">
        <f t="shared" si="1"/>
        <v>12360</v>
      </c>
      <c r="G22" s="66">
        <f t="shared" si="1"/>
        <v>12730.800000000001</v>
      </c>
      <c r="H22" s="68">
        <f t="shared" si="1"/>
        <v>13112.724000000002</v>
      </c>
    </row>
    <row r="23" spans="2:8" s="90" customFormat="1" x14ac:dyDescent="0.3">
      <c r="B23" s="18" t="s">
        <v>147</v>
      </c>
      <c r="C23" s="42">
        <v>0</v>
      </c>
      <c r="D23" s="42">
        <v>8000</v>
      </c>
      <c r="E23" s="42">
        <v>8500</v>
      </c>
      <c r="F23" s="66">
        <f t="shared" si="1"/>
        <v>8755</v>
      </c>
      <c r="G23" s="66">
        <f t="shared" si="1"/>
        <v>9017.65</v>
      </c>
      <c r="H23" s="68">
        <f t="shared" si="1"/>
        <v>9288.1795000000002</v>
      </c>
    </row>
    <row r="24" spans="2:8" s="90" customFormat="1" x14ac:dyDescent="0.3">
      <c r="B24" s="18" t="s">
        <v>101</v>
      </c>
      <c r="C24" s="42">
        <v>0</v>
      </c>
      <c r="D24" s="42">
        <v>0</v>
      </c>
      <c r="E24" s="42">
        <v>0</v>
      </c>
      <c r="F24" s="66">
        <f t="shared" si="1"/>
        <v>0</v>
      </c>
      <c r="G24" s="66">
        <f t="shared" si="1"/>
        <v>0</v>
      </c>
      <c r="H24" s="68">
        <f t="shared" si="1"/>
        <v>0</v>
      </c>
    </row>
    <row r="25" spans="2:8" s="90" customFormat="1" x14ac:dyDescent="0.3">
      <c r="B25" s="18"/>
      <c r="C25" s="42"/>
      <c r="D25" s="42"/>
      <c r="E25" s="42"/>
      <c r="F25" s="66"/>
      <c r="G25" s="66"/>
      <c r="H25" s="68"/>
    </row>
    <row r="26" spans="2:8" s="90" customFormat="1" ht="14.5" x14ac:dyDescent="0.35">
      <c r="B26" s="17" t="s">
        <v>66</v>
      </c>
      <c r="C26" s="26"/>
      <c r="D26" s="26"/>
      <c r="E26" s="26"/>
      <c r="F26" s="26"/>
      <c r="G26" s="103"/>
      <c r="H26" s="37"/>
    </row>
    <row r="27" spans="2:8" s="90" customFormat="1" x14ac:dyDescent="0.3">
      <c r="B27" s="63" t="s">
        <v>35</v>
      </c>
      <c r="C27" s="27"/>
      <c r="D27" s="51">
        <v>0.03</v>
      </c>
      <c r="E27" s="51">
        <v>0.03</v>
      </c>
      <c r="F27" s="51">
        <v>0.03</v>
      </c>
      <c r="G27" s="51">
        <v>0.03</v>
      </c>
      <c r="H27" s="65">
        <v>0.03</v>
      </c>
    </row>
    <row r="28" spans="2:8" s="90" customFormat="1" ht="16" customHeight="1" thickBot="1" x14ac:dyDescent="0.35">
      <c r="B28" s="21" t="s">
        <v>15</v>
      </c>
      <c r="C28" s="28"/>
      <c r="D28" s="53"/>
      <c r="E28" s="53"/>
      <c r="F28" s="53"/>
      <c r="G28" s="53"/>
      <c r="H28" s="82">
        <v>0.08</v>
      </c>
    </row>
    <row r="29" spans="2:8" s="90" customFormat="1" ht="16" customHeight="1" x14ac:dyDescent="0.3">
      <c r="B29" s="127" t="s">
        <v>233</v>
      </c>
      <c r="C29" s="27"/>
      <c r="D29" s="51"/>
      <c r="E29" s="51"/>
      <c r="F29" s="51"/>
      <c r="G29" s="51"/>
      <c r="H29" s="51"/>
    </row>
    <row r="30" spans="2:8" s="90" customFormat="1" x14ac:dyDescent="0.3">
      <c r="B30" s="127" t="s">
        <v>210</v>
      </c>
      <c r="C30" s="88"/>
      <c r="D30" s="89"/>
      <c r="E30" s="89"/>
      <c r="F30" s="89"/>
    </row>
    <row r="31" spans="2:8" s="90" customFormat="1" ht="13.5" thickBot="1" x14ac:dyDescent="0.35">
      <c r="B31" s="127"/>
      <c r="C31" s="88"/>
      <c r="D31" s="89"/>
      <c r="E31" s="89"/>
      <c r="F31" s="89"/>
    </row>
    <row r="32" spans="2:8" x14ac:dyDescent="0.3">
      <c r="B32" s="15" t="s">
        <v>234</v>
      </c>
      <c r="C32" s="25" t="s">
        <v>82</v>
      </c>
      <c r="D32" s="25" t="s">
        <v>83</v>
      </c>
      <c r="E32" s="25" t="s">
        <v>84</v>
      </c>
      <c r="F32" s="25" t="s">
        <v>85</v>
      </c>
      <c r="G32" s="105" t="s">
        <v>86</v>
      </c>
      <c r="H32" s="35" t="s">
        <v>89</v>
      </c>
    </row>
    <row r="33" spans="2:8" x14ac:dyDescent="0.3">
      <c r="B33" s="5" t="s">
        <v>0</v>
      </c>
      <c r="C33" s="99"/>
      <c r="D33" s="89"/>
      <c r="E33" s="89"/>
      <c r="F33" s="89"/>
      <c r="G33" s="90"/>
      <c r="H33" s="91"/>
    </row>
    <row r="34" spans="2:8" x14ac:dyDescent="0.3">
      <c r="B34" s="75" t="str">
        <f>'8. Profit from rental program'!B12</f>
        <v>Rental Program Revenue</v>
      </c>
      <c r="C34" s="6">
        <f>'8. Profit from rental program'!C12</f>
        <v>0</v>
      </c>
      <c r="D34" s="6">
        <f>'8. Profit from rental program'!D12</f>
        <v>3000000</v>
      </c>
      <c r="E34" s="6">
        <f>'8. Profit from rental program'!E12</f>
        <v>3500000</v>
      </c>
      <c r="F34" s="6">
        <f>'8. Profit from rental program'!F12</f>
        <v>3605000</v>
      </c>
      <c r="G34" s="6">
        <f>'8. Profit from rental program'!G12</f>
        <v>3713150</v>
      </c>
      <c r="H34" s="54">
        <f>'8. Profit from rental program'!H12</f>
        <v>3824544.5</v>
      </c>
    </row>
    <row r="35" spans="2:8" x14ac:dyDescent="0.3">
      <c r="B35" s="122" t="s">
        <v>136</v>
      </c>
      <c r="C35" s="6">
        <f>'8. Profit from rental program'!C13</f>
        <v>0</v>
      </c>
      <c r="D35" s="6">
        <f>'8. Profit from rental program'!D13</f>
        <v>0</v>
      </c>
      <c r="E35" s="6">
        <f>'8. Profit from rental program'!E13</f>
        <v>0</v>
      </c>
      <c r="F35" s="6">
        <f>'8. Profit from rental program'!F13</f>
        <v>0</v>
      </c>
      <c r="G35" s="6">
        <f>'8. Profit from rental program'!G13</f>
        <v>0</v>
      </c>
      <c r="H35" s="54">
        <f>'8. Profit from rental program'!H13</f>
        <v>0</v>
      </c>
    </row>
    <row r="36" spans="2:8" x14ac:dyDescent="0.3">
      <c r="B36" s="24" t="s">
        <v>9</v>
      </c>
      <c r="C36" s="6">
        <f t="shared" ref="C36:H36" si="2">SUM(C34:C35)</f>
        <v>0</v>
      </c>
      <c r="D36" s="6">
        <f t="shared" si="2"/>
        <v>3000000</v>
      </c>
      <c r="E36" s="6">
        <f t="shared" si="2"/>
        <v>3500000</v>
      </c>
      <c r="F36" s="6">
        <f t="shared" si="2"/>
        <v>3605000</v>
      </c>
      <c r="G36" s="6">
        <f t="shared" si="2"/>
        <v>3713150</v>
      </c>
      <c r="H36" s="54">
        <f t="shared" si="2"/>
        <v>3824544.5</v>
      </c>
    </row>
    <row r="37" spans="2:8" x14ac:dyDescent="0.3">
      <c r="B37" s="5" t="s">
        <v>1</v>
      </c>
      <c r="C37" s="6"/>
      <c r="D37" s="6"/>
      <c r="E37" s="6"/>
      <c r="F37" s="6"/>
      <c r="G37" s="90"/>
      <c r="H37" s="91"/>
    </row>
    <row r="38" spans="2:8" x14ac:dyDescent="0.3">
      <c r="B38" s="73" t="s">
        <v>151</v>
      </c>
      <c r="C38" s="6"/>
      <c r="D38" s="6"/>
      <c r="E38" s="6"/>
      <c r="F38" s="6"/>
      <c r="G38" s="90"/>
      <c r="H38" s="91"/>
    </row>
    <row r="39" spans="2:8" x14ac:dyDescent="0.3">
      <c r="B39" s="79" t="s">
        <v>152</v>
      </c>
      <c r="C39" s="6">
        <f t="shared" ref="C39:H46" si="3">C17</f>
        <v>100000</v>
      </c>
      <c r="D39" s="6">
        <f t="shared" si="3"/>
        <v>0</v>
      </c>
      <c r="E39" s="6">
        <f t="shared" si="3"/>
        <v>0</v>
      </c>
      <c r="F39" s="6">
        <f t="shared" si="3"/>
        <v>0</v>
      </c>
      <c r="G39" s="6">
        <f t="shared" si="3"/>
        <v>0</v>
      </c>
      <c r="H39" s="54">
        <f t="shared" si="3"/>
        <v>0</v>
      </c>
    </row>
    <row r="40" spans="2:8" x14ac:dyDescent="0.3">
      <c r="B40" s="79" t="s">
        <v>69</v>
      </c>
      <c r="C40" s="6">
        <f t="shared" si="3"/>
        <v>0</v>
      </c>
      <c r="D40" s="6">
        <f t="shared" si="3"/>
        <v>30000</v>
      </c>
      <c r="E40" s="6">
        <f t="shared" si="3"/>
        <v>32000</v>
      </c>
      <c r="F40" s="6">
        <f t="shared" si="3"/>
        <v>32960</v>
      </c>
      <c r="G40" s="6">
        <f t="shared" si="3"/>
        <v>33948.800000000003</v>
      </c>
      <c r="H40" s="54">
        <f t="shared" si="3"/>
        <v>34967.264000000003</v>
      </c>
    </row>
    <row r="41" spans="2:8" x14ac:dyDescent="0.3">
      <c r="B41" s="79" t="s">
        <v>17</v>
      </c>
      <c r="C41" s="6">
        <f t="shared" si="3"/>
        <v>0</v>
      </c>
      <c r="D41" s="6">
        <f t="shared" si="3"/>
        <v>105000</v>
      </c>
      <c r="E41" s="6">
        <f t="shared" si="3"/>
        <v>110000</v>
      </c>
      <c r="F41" s="6">
        <f t="shared" si="3"/>
        <v>113300</v>
      </c>
      <c r="G41" s="6">
        <f t="shared" si="3"/>
        <v>116699</v>
      </c>
      <c r="H41" s="54">
        <f t="shared" si="3"/>
        <v>120199.97</v>
      </c>
    </row>
    <row r="42" spans="2:8" x14ac:dyDescent="0.3">
      <c r="B42" s="79" t="s">
        <v>148</v>
      </c>
      <c r="C42" s="6">
        <f t="shared" si="3"/>
        <v>0</v>
      </c>
      <c r="D42" s="6">
        <f t="shared" si="3"/>
        <v>40000</v>
      </c>
      <c r="E42" s="6">
        <f t="shared" si="3"/>
        <v>42000</v>
      </c>
      <c r="F42" s="6">
        <f t="shared" si="3"/>
        <v>43260</v>
      </c>
      <c r="G42" s="6">
        <f t="shared" si="3"/>
        <v>44557.8</v>
      </c>
      <c r="H42" s="54">
        <f t="shared" si="3"/>
        <v>45894.534000000007</v>
      </c>
    </row>
    <row r="43" spans="2:8" x14ac:dyDescent="0.3">
      <c r="B43" s="79" t="s">
        <v>149</v>
      </c>
      <c r="C43" s="6">
        <f t="shared" si="3"/>
        <v>0</v>
      </c>
      <c r="D43" s="6">
        <f t="shared" si="3"/>
        <v>15000</v>
      </c>
      <c r="E43" s="6">
        <f t="shared" si="3"/>
        <v>17000</v>
      </c>
      <c r="F43" s="6">
        <f t="shared" si="3"/>
        <v>17510</v>
      </c>
      <c r="G43" s="6">
        <f t="shared" si="3"/>
        <v>18035.3</v>
      </c>
      <c r="H43" s="54">
        <f t="shared" si="3"/>
        <v>18576.359</v>
      </c>
    </row>
    <row r="44" spans="2:8" x14ac:dyDescent="0.3">
      <c r="B44" s="79" t="s">
        <v>2</v>
      </c>
      <c r="C44" s="6">
        <f t="shared" si="3"/>
        <v>0</v>
      </c>
      <c r="D44" s="6">
        <f t="shared" si="3"/>
        <v>9000</v>
      </c>
      <c r="E44" s="6">
        <f t="shared" si="3"/>
        <v>12000</v>
      </c>
      <c r="F44" s="6">
        <f t="shared" si="3"/>
        <v>12360</v>
      </c>
      <c r="G44" s="6">
        <f t="shared" si="3"/>
        <v>12730.800000000001</v>
      </c>
      <c r="H44" s="54">
        <f t="shared" si="3"/>
        <v>13112.724000000002</v>
      </c>
    </row>
    <row r="45" spans="2:8" x14ac:dyDescent="0.3">
      <c r="B45" s="79" t="s">
        <v>147</v>
      </c>
      <c r="C45" s="6">
        <f t="shared" si="3"/>
        <v>0</v>
      </c>
      <c r="D45" s="6">
        <f t="shared" si="3"/>
        <v>8000</v>
      </c>
      <c r="E45" s="6">
        <f t="shared" si="3"/>
        <v>8500</v>
      </c>
      <c r="F45" s="6">
        <f t="shared" si="3"/>
        <v>8755</v>
      </c>
      <c r="G45" s="6">
        <f t="shared" si="3"/>
        <v>9017.65</v>
      </c>
      <c r="H45" s="54">
        <f t="shared" si="3"/>
        <v>9288.1795000000002</v>
      </c>
    </row>
    <row r="46" spans="2:8" x14ac:dyDescent="0.3">
      <c r="B46" s="79" t="s">
        <v>101</v>
      </c>
      <c r="C46" s="6">
        <f t="shared" si="3"/>
        <v>0</v>
      </c>
      <c r="D46" s="6">
        <f t="shared" si="3"/>
        <v>0</v>
      </c>
      <c r="E46" s="6">
        <f t="shared" si="3"/>
        <v>0</v>
      </c>
      <c r="F46" s="6">
        <f t="shared" si="3"/>
        <v>0</v>
      </c>
      <c r="G46" s="6">
        <f t="shared" si="3"/>
        <v>0</v>
      </c>
      <c r="H46" s="54">
        <f t="shared" si="3"/>
        <v>0</v>
      </c>
    </row>
    <row r="47" spans="2:8" x14ac:dyDescent="0.3">
      <c r="B47" s="18" t="s">
        <v>153</v>
      </c>
      <c r="C47" s="6">
        <f>SUM(C39:C46)</f>
        <v>100000</v>
      </c>
      <c r="D47" s="6">
        <f t="shared" ref="D47:H47" si="4">SUM(D39:D46)</f>
        <v>207000</v>
      </c>
      <c r="E47" s="6">
        <f t="shared" si="4"/>
        <v>221500</v>
      </c>
      <c r="F47" s="6">
        <f t="shared" si="4"/>
        <v>228145</v>
      </c>
      <c r="G47" s="6">
        <f t="shared" si="4"/>
        <v>234989.34999999995</v>
      </c>
      <c r="H47" s="54">
        <f t="shared" si="4"/>
        <v>242039.03050000002</v>
      </c>
    </row>
    <row r="48" spans="2:8" x14ac:dyDescent="0.3">
      <c r="B48" s="24" t="s">
        <v>10</v>
      </c>
      <c r="C48" s="6">
        <f>C47</f>
        <v>100000</v>
      </c>
      <c r="D48" s="6">
        <f t="shared" ref="D48:H48" si="5">D47</f>
        <v>207000</v>
      </c>
      <c r="E48" s="6">
        <f t="shared" si="5"/>
        <v>221500</v>
      </c>
      <c r="F48" s="6">
        <f t="shared" si="5"/>
        <v>228145</v>
      </c>
      <c r="G48" s="6">
        <f t="shared" si="5"/>
        <v>234989.34999999995</v>
      </c>
      <c r="H48" s="54">
        <f t="shared" si="5"/>
        <v>242039.03050000002</v>
      </c>
    </row>
    <row r="49" spans="2:8" ht="13.5" thickBot="1" x14ac:dyDescent="0.35">
      <c r="B49" s="7" t="s">
        <v>235</v>
      </c>
      <c r="C49" s="8">
        <f>(C36-C48)</f>
        <v>-100000</v>
      </c>
      <c r="D49" s="8">
        <f>D36-D48</f>
        <v>2793000</v>
      </c>
      <c r="E49" s="8">
        <f>E36-E48</f>
        <v>3278500</v>
      </c>
      <c r="F49" s="8">
        <f>F36-F48</f>
        <v>3376855</v>
      </c>
      <c r="G49" s="8">
        <f>G36-G48</f>
        <v>3478160.65</v>
      </c>
      <c r="H49" s="55">
        <f>H36-H48</f>
        <v>3582505.4695000001</v>
      </c>
    </row>
    <row r="50" spans="2:8" s="90" customFormat="1" ht="13.5" thickBot="1" x14ac:dyDescent="0.35">
      <c r="B50" s="89"/>
      <c r="C50" s="89"/>
      <c r="D50" s="89"/>
      <c r="E50" s="89"/>
      <c r="F50" s="89"/>
      <c r="G50" s="89"/>
      <c r="H50" s="89"/>
    </row>
    <row r="51" spans="2:8" x14ac:dyDescent="0.3">
      <c r="B51" s="15" t="s">
        <v>22</v>
      </c>
      <c r="C51" s="25" t="s">
        <v>82</v>
      </c>
      <c r="D51" s="25" t="s">
        <v>83</v>
      </c>
      <c r="E51" s="25" t="s">
        <v>84</v>
      </c>
      <c r="F51" s="25" t="s">
        <v>85</v>
      </c>
      <c r="G51" s="105" t="s">
        <v>86</v>
      </c>
      <c r="H51" s="35" t="s">
        <v>89</v>
      </c>
    </row>
    <row r="52" spans="2:8" x14ac:dyDescent="0.3">
      <c r="B52" s="11" t="s">
        <v>91</v>
      </c>
      <c r="C52" s="4">
        <f>C49</f>
        <v>-100000</v>
      </c>
      <c r="D52" s="4">
        <f t="shared" ref="D52:H52" si="6">D49</f>
        <v>2793000</v>
      </c>
      <c r="E52" s="4">
        <f t="shared" si="6"/>
        <v>3278500</v>
      </c>
      <c r="F52" s="4">
        <f t="shared" si="6"/>
        <v>3376855</v>
      </c>
      <c r="G52" s="4">
        <f t="shared" si="6"/>
        <v>3478160.65</v>
      </c>
      <c r="H52" s="62">
        <f t="shared" si="6"/>
        <v>3582505.4695000001</v>
      </c>
    </row>
    <row r="53" spans="2:8" ht="13.5" thickBot="1" x14ac:dyDescent="0.35">
      <c r="B53" s="80" t="s">
        <v>90</v>
      </c>
      <c r="C53" s="78">
        <f>C52+NPV($H$28,D52:H52)</f>
        <v>12972297.742115803</v>
      </c>
      <c r="D53" s="10"/>
      <c r="E53" s="78"/>
      <c r="F53" s="10"/>
      <c r="G53" s="100"/>
      <c r="H53" s="39"/>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9373-E972-4062-86C8-8DB2222E795A}">
  <sheetPr>
    <tabColor theme="9" tint="-0.249977111117893"/>
  </sheetPr>
  <dimension ref="B1:H47"/>
  <sheetViews>
    <sheetView showGridLines="0" zoomScaleNormal="100" workbookViewId="0"/>
  </sheetViews>
  <sheetFormatPr defaultRowHeight="13" x14ac:dyDescent="0.3"/>
  <cols>
    <col min="1" max="1" width="3.36328125" style="87" customWidth="1"/>
    <col min="2" max="2" width="69.6328125" style="89" customWidth="1"/>
    <col min="3" max="3" width="22.81640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98" t="s">
        <v>102</v>
      </c>
      <c r="C2" s="85"/>
    </row>
    <row r="3" spans="2:8" x14ac:dyDescent="0.3">
      <c r="B3" s="88" t="s">
        <v>219</v>
      </c>
      <c r="C3" s="88"/>
    </row>
    <row r="4" spans="2:8" x14ac:dyDescent="0.3">
      <c r="B4" s="81" t="s">
        <v>73</v>
      </c>
      <c r="C4" s="81"/>
    </row>
    <row r="6" spans="2:8" s="90" customFormat="1" x14ac:dyDescent="0.3">
      <c r="B6" s="85" t="s">
        <v>205</v>
      </c>
      <c r="C6" s="85"/>
      <c r="D6" s="89"/>
      <c r="E6" s="89"/>
      <c r="F6" s="89"/>
    </row>
    <row r="7" spans="2:8" s="90" customFormat="1" x14ac:dyDescent="0.3">
      <c r="B7" s="88" t="s">
        <v>206</v>
      </c>
      <c r="C7" s="88"/>
      <c r="D7" s="89"/>
      <c r="E7" s="89"/>
      <c r="F7" s="89"/>
    </row>
    <row r="8" spans="2:8" s="90" customFormat="1" ht="13.5" thickBot="1" x14ac:dyDescent="0.35">
      <c r="B8" s="88"/>
      <c r="C8" s="88"/>
      <c r="D8" s="89"/>
      <c r="E8" s="89"/>
      <c r="F8" s="89"/>
    </row>
    <row r="9" spans="2:8" s="90" customFormat="1" x14ac:dyDescent="0.3">
      <c r="B9" s="15" t="s">
        <v>21</v>
      </c>
      <c r="C9" s="25" t="s">
        <v>82</v>
      </c>
      <c r="D9" s="25" t="s">
        <v>83</v>
      </c>
      <c r="E9" s="25" t="s">
        <v>84</v>
      </c>
      <c r="F9" s="25" t="s">
        <v>85</v>
      </c>
      <c r="G9" s="105" t="s">
        <v>86</v>
      </c>
      <c r="H9" s="35" t="s">
        <v>89</v>
      </c>
    </row>
    <row r="10" spans="2:8" s="90" customFormat="1" ht="14.5" x14ac:dyDescent="0.35">
      <c r="B10" s="16"/>
      <c r="C10" s="14"/>
      <c r="D10" s="14"/>
      <c r="E10" s="14"/>
      <c r="F10" s="14"/>
      <c r="G10" s="2"/>
      <c r="H10" s="36"/>
    </row>
    <row r="11" spans="2:8" s="90" customFormat="1" ht="14.5" x14ac:dyDescent="0.35">
      <c r="B11" s="17" t="s">
        <v>33</v>
      </c>
      <c r="C11" s="26"/>
      <c r="D11" s="26"/>
      <c r="E11" s="26"/>
      <c r="F11" s="26"/>
      <c r="G11" s="103"/>
      <c r="H11" s="37"/>
    </row>
    <row r="12" spans="2:8" s="90" customFormat="1" x14ac:dyDescent="0.3">
      <c r="B12" s="16" t="s">
        <v>192</v>
      </c>
      <c r="C12" s="42">
        <v>0</v>
      </c>
      <c r="D12" s="42">
        <v>1500000</v>
      </c>
      <c r="E12" s="42">
        <v>2000000</v>
      </c>
      <c r="F12" s="66">
        <f t="shared" ref="F12:H13" si="0">E12*(1+F$24)</f>
        <v>2060000</v>
      </c>
      <c r="G12" s="66">
        <f t="shared" si="0"/>
        <v>2121800</v>
      </c>
      <c r="H12" s="68">
        <f t="shared" si="0"/>
        <v>2185454</v>
      </c>
    </row>
    <row r="13" spans="2:8" s="90" customFormat="1" x14ac:dyDescent="0.3">
      <c r="B13" s="16" t="s">
        <v>136</v>
      </c>
      <c r="C13" s="42">
        <v>0</v>
      </c>
      <c r="D13" s="42">
        <v>0</v>
      </c>
      <c r="E13" s="42">
        <v>0</v>
      </c>
      <c r="F13" s="66">
        <f t="shared" si="0"/>
        <v>0</v>
      </c>
      <c r="G13" s="66">
        <f t="shared" si="0"/>
        <v>0</v>
      </c>
      <c r="H13" s="68">
        <f t="shared" si="0"/>
        <v>0</v>
      </c>
    </row>
    <row r="14" spans="2:8" s="90" customFormat="1" x14ac:dyDescent="0.3">
      <c r="B14" s="16"/>
      <c r="C14" s="42"/>
      <c r="D14" s="42"/>
      <c r="E14" s="42"/>
      <c r="F14" s="66"/>
      <c r="G14" s="66"/>
      <c r="H14" s="68"/>
    </row>
    <row r="15" spans="2:8" s="90" customFormat="1" ht="14.5" x14ac:dyDescent="0.35">
      <c r="B15" s="17" t="s">
        <v>1</v>
      </c>
      <c r="C15" s="43"/>
      <c r="D15" s="43"/>
      <c r="E15" s="43"/>
      <c r="F15" s="43"/>
      <c r="G15" s="103"/>
      <c r="H15" s="37"/>
    </row>
    <row r="16" spans="2:8" s="90" customFormat="1" x14ac:dyDescent="0.3">
      <c r="B16" s="73" t="s">
        <v>207</v>
      </c>
      <c r="C16" s="42"/>
      <c r="D16" s="42"/>
      <c r="E16" s="42"/>
      <c r="F16" s="66"/>
      <c r="G16" s="66"/>
      <c r="H16" s="68"/>
    </row>
    <row r="17" spans="2:8" x14ac:dyDescent="0.3">
      <c r="B17" s="18" t="s">
        <v>196</v>
      </c>
      <c r="C17" s="42">
        <v>30000</v>
      </c>
      <c r="D17" s="102">
        <v>0</v>
      </c>
      <c r="E17" s="102">
        <v>0</v>
      </c>
      <c r="F17" s="102">
        <v>0</v>
      </c>
      <c r="G17" s="102">
        <v>0</v>
      </c>
      <c r="H17" s="106">
        <v>0</v>
      </c>
    </row>
    <row r="18" spans="2:8" x14ac:dyDescent="0.3">
      <c r="B18" s="18" t="s">
        <v>194</v>
      </c>
      <c r="C18" s="42">
        <v>0</v>
      </c>
      <c r="D18" s="42">
        <v>11000</v>
      </c>
      <c r="E18" s="42">
        <v>12000</v>
      </c>
      <c r="F18" s="66">
        <f t="shared" ref="F18:H21" si="1">E18*(1+F$24)</f>
        <v>12360</v>
      </c>
      <c r="G18" s="66">
        <f t="shared" si="1"/>
        <v>12730.800000000001</v>
      </c>
      <c r="H18" s="68">
        <f t="shared" si="1"/>
        <v>13112.724000000002</v>
      </c>
    </row>
    <row r="19" spans="2:8" x14ac:dyDescent="0.3">
      <c r="B19" s="18" t="s">
        <v>209</v>
      </c>
      <c r="C19" s="42">
        <v>0</v>
      </c>
      <c r="D19" s="42">
        <v>5000</v>
      </c>
      <c r="E19" s="42">
        <v>6000</v>
      </c>
      <c r="F19" s="66">
        <f t="shared" si="1"/>
        <v>6180</v>
      </c>
      <c r="G19" s="66">
        <f t="shared" si="1"/>
        <v>6365.4000000000005</v>
      </c>
      <c r="H19" s="68">
        <f t="shared" si="1"/>
        <v>6556.362000000001</v>
      </c>
    </row>
    <row r="20" spans="2:8" x14ac:dyDescent="0.3">
      <c r="B20" s="18" t="s">
        <v>195</v>
      </c>
      <c r="C20" s="42">
        <v>0</v>
      </c>
      <c r="D20" s="42">
        <v>2000</v>
      </c>
      <c r="E20" s="42">
        <v>2500</v>
      </c>
      <c r="F20" s="66">
        <f t="shared" si="1"/>
        <v>2575</v>
      </c>
      <c r="G20" s="66">
        <f t="shared" si="1"/>
        <v>2652.25</v>
      </c>
      <c r="H20" s="68">
        <f t="shared" si="1"/>
        <v>2731.8175000000001</v>
      </c>
    </row>
    <row r="21" spans="2:8" s="90" customFormat="1" x14ac:dyDescent="0.3">
      <c r="B21" s="18" t="s">
        <v>101</v>
      </c>
      <c r="C21" s="42">
        <v>0</v>
      </c>
      <c r="D21" s="42">
        <v>0</v>
      </c>
      <c r="E21" s="42">
        <v>0</v>
      </c>
      <c r="F21" s="66">
        <f t="shared" si="1"/>
        <v>0</v>
      </c>
      <c r="G21" s="66">
        <f t="shared" si="1"/>
        <v>0</v>
      </c>
      <c r="H21" s="68">
        <f t="shared" si="1"/>
        <v>0</v>
      </c>
    </row>
    <row r="22" spans="2:8" s="90" customFormat="1" ht="14.5" x14ac:dyDescent="0.35">
      <c r="B22" s="18"/>
      <c r="C22" s="46"/>
      <c r="D22" s="46"/>
      <c r="E22" s="46"/>
      <c r="F22" s="46"/>
      <c r="G22" s="2"/>
      <c r="H22" s="36"/>
    </row>
    <row r="23" spans="2:8" s="90" customFormat="1" ht="14.5" x14ac:dyDescent="0.35">
      <c r="B23" s="17" t="s">
        <v>66</v>
      </c>
      <c r="C23" s="26"/>
      <c r="D23" s="26"/>
      <c r="E23" s="26"/>
      <c r="F23" s="26"/>
      <c r="G23" s="103"/>
      <c r="H23" s="37"/>
    </row>
    <row r="24" spans="2:8" s="90" customFormat="1" x14ac:dyDescent="0.3">
      <c r="B24" s="63" t="s">
        <v>35</v>
      </c>
      <c r="C24" s="27"/>
      <c r="D24" s="51">
        <v>0.03</v>
      </c>
      <c r="E24" s="51">
        <v>0.03</v>
      </c>
      <c r="F24" s="51">
        <v>0.03</v>
      </c>
      <c r="G24" s="51">
        <v>0.03</v>
      </c>
      <c r="H24" s="65">
        <v>0.03</v>
      </c>
    </row>
    <row r="25" spans="2:8" s="90" customFormat="1" ht="16" customHeight="1" thickBot="1" x14ac:dyDescent="0.35">
      <c r="B25" s="21" t="s">
        <v>15</v>
      </c>
      <c r="C25" s="28"/>
      <c r="D25" s="53"/>
      <c r="E25" s="53"/>
      <c r="F25" s="53"/>
      <c r="G25" s="53"/>
      <c r="H25" s="82">
        <v>0.08</v>
      </c>
    </row>
    <row r="26" spans="2:8" s="90" customFormat="1" ht="16" customHeight="1" x14ac:dyDescent="0.3">
      <c r="B26" s="127" t="s">
        <v>208</v>
      </c>
      <c r="C26" s="27"/>
      <c r="D26" s="51"/>
      <c r="E26" s="51"/>
      <c r="F26" s="51"/>
      <c r="G26" s="51"/>
      <c r="H26" s="51"/>
    </row>
    <row r="27" spans="2:8" s="90" customFormat="1" ht="16" customHeight="1" x14ac:dyDescent="0.3">
      <c r="B27" s="127" t="s">
        <v>210</v>
      </c>
      <c r="C27" s="27"/>
      <c r="D27" s="51"/>
      <c r="E27" s="51"/>
      <c r="F27" s="51"/>
      <c r="G27" s="51"/>
      <c r="H27" s="51"/>
    </row>
    <row r="28" spans="2:8" s="90" customFormat="1" ht="13.5" thickBot="1" x14ac:dyDescent="0.35">
      <c r="B28" s="88"/>
      <c r="C28" s="88"/>
      <c r="D28" s="89"/>
      <c r="E28" s="89"/>
      <c r="F28" s="89"/>
    </row>
    <row r="29" spans="2:8" x14ac:dyDescent="0.3">
      <c r="B29" s="15" t="s">
        <v>236</v>
      </c>
      <c r="C29" s="25" t="s">
        <v>82</v>
      </c>
      <c r="D29" s="25" t="s">
        <v>83</v>
      </c>
      <c r="E29" s="25" t="s">
        <v>84</v>
      </c>
      <c r="F29" s="25" t="s">
        <v>85</v>
      </c>
      <c r="G29" s="105" t="s">
        <v>86</v>
      </c>
      <c r="H29" s="35" t="s">
        <v>89</v>
      </c>
    </row>
    <row r="30" spans="2:8" x14ac:dyDescent="0.3">
      <c r="B30" s="5" t="s">
        <v>0</v>
      </c>
      <c r="C30" s="99"/>
      <c r="D30" s="89"/>
      <c r="E30" s="89"/>
      <c r="F30" s="89"/>
      <c r="G30" s="90"/>
      <c r="H30" s="91"/>
    </row>
    <row r="31" spans="2:8" x14ac:dyDescent="0.3">
      <c r="B31" s="122" t="s">
        <v>192</v>
      </c>
      <c r="C31" s="6">
        <f>'9. Profit from repair and ref.'!C12</f>
        <v>0</v>
      </c>
      <c r="D31" s="6">
        <f>'9. Profit from repair and ref.'!D12</f>
        <v>1500000</v>
      </c>
      <c r="E31" s="6">
        <f>'9. Profit from repair and ref.'!E12</f>
        <v>2000000</v>
      </c>
      <c r="F31" s="6">
        <f>'9. Profit from repair and ref.'!F12</f>
        <v>2060000</v>
      </c>
      <c r="G31" s="6">
        <f>'9. Profit from repair and ref.'!G12</f>
        <v>2121800</v>
      </c>
      <c r="H31" s="54">
        <f>'9. Profit from repair and ref.'!H12</f>
        <v>2185454</v>
      </c>
    </row>
    <row r="32" spans="2:8" x14ac:dyDescent="0.3">
      <c r="B32" s="122" t="s">
        <v>136</v>
      </c>
      <c r="C32" s="6">
        <f>'9. Profit from repair and ref.'!C13</f>
        <v>0</v>
      </c>
      <c r="D32" s="6">
        <f>'9. Profit from repair and ref.'!D13</f>
        <v>0</v>
      </c>
      <c r="E32" s="6">
        <f>'9. Profit from repair and ref.'!E13</f>
        <v>0</v>
      </c>
      <c r="F32" s="6">
        <f>'9. Profit from repair and ref.'!F13</f>
        <v>0</v>
      </c>
      <c r="G32" s="6">
        <f>'9. Profit from repair and ref.'!G13</f>
        <v>0</v>
      </c>
      <c r="H32" s="54">
        <f>'9. Profit from repair and ref.'!H13</f>
        <v>0</v>
      </c>
    </row>
    <row r="33" spans="2:8" x14ac:dyDescent="0.3">
      <c r="B33" s="24" t="s">
        <v>9</v>
      </c>
      <c r="C33" s="6">
        <f t="shared" ref="C33:H33" si="2">SUM(C31:C32)</f>
        <v>0</v>
      </c>
      <c r="D33" s="6">
        <f t="shared" si="2"/>
        <v>1500000</v>
      </c>
      <c r="E33" s="6">
        <f t="shared" si="2"/>
        <v>2000000</v>
      </c>
      <c r="F33" s="6">
        <f t="shared" si="2"/>
        <v>2060000</v>
      </c>
      <c r="G33" s="6">
        <f t="shared" si="2"/>
        <v>2121800</v>
      </c>
      <c r="H33" s="54">
        <f t="shared" si="2"/>
        <v>2185454</v>
      </c>
    </row>
    <row r="34" spans="2:8" x14ac:dyDescent="0.3">
      <c r="B34" s="5" t="s">
        <v>1</v>
      </c>
      <c r="C34" s="6"/>
      <c r="D34" s="6"/>
      <c r="E34" s="6"/>
      <c r="F34" s="6"/>
      <c r="G34" s="90"/>
      <c r="H34" s="91"/>
    </row>
    <row r="35" spans="2:8" x14ac:dyDescent="0.3">
      <c r="B35" s="73" t="s">
        <v>193</v>
      </c>
      <c r="C35" s="6"/>
      <c r="D35" s="6"/>
      <c r="E35" s="6"/>
      <c r="F35" s="6"/>
      <c r="G35" s="90"/>
      <c r="H35" s="91"/>
    </row>
    <row r="36" spans="2:8" x14ac:dyDescent="0.3">
      <c r="B36" s="79" t="s">
        <v>196</v>
      </c>
      <c r="C36" s="6">
        <f t="shared" ref="C36:H40" si="3">C17</f>
        <v>30000</v>
      </c>
      <c r="D36" s="6">
        <f t="shared" si="3"/>
        <v>0</v>
      </c>
      <c r="E36" s="6">
        <f t="shared" si="3"/>
        <v>0</v>
      </c>
      <c r="F36" s="6">
        <f t="shared" si="3"/>
        <v>0</v>
      </c>
      <c r="G36" s="6">
        <f t="shared" si="3"/>
        <v>0</v>
      </c>
      <c r="H36" s="54">
        <f t="shared" si="3"/>
        <v>0</v>
      </c>
    </row>
    <row r="37" spans="2:8" x14ac:dyDescent="0.3">
      <c r="B37" s="79" t="s">
        <v>194</v>
      </c>
      <c r="C37" s="6">
        <f t="shared" si="3"/>
        <v>0</v>
      </c>
      <c r="D37" s="6">
        <f t="shared" si="3"/>
        <v>11000</v>
      </c>
      <c r="E37" s="6">
        <f t="shared" si="3"/>
        <v>12000</v>
      </c>
      <c r="F37" s="6">
        <f t="shared" si="3"/>
        <v>12360</v>
      </c>
      <c r="G37" s="6">
        <f t="shared" si="3"/>
        <v>12730.800000000001</v>
      </c>
      <c r="H37" s="54">
        <f t="shared" si="3"/>
        <v>13112.724000000002</v>
      </c>
    </row>
    <row r="38" spans="2:8" x14ac:dyDescent="0.3">
      <c r="B38" s="79" t="s">
        <v>2</v>
      </c>
      <c r="C38" s="6">
        <f t="shared" si="3"/>
        <v>0</v>
      </c>
      <c r="D38" s="6">
        <f t="shared" si="3"/>
        <v>5000</v>
      </c>
      <c r="E38" s="6">
        <f t="shared" si="3"/>
        <v>6000</v>
      </c>
      <c r="F38" s="6">
        <f t="shared" si="3"/>
        <v>6180</v>
      </c>
      <c r="G38" s="6">
        <f t="shared" si="3"/>
        <v>6365.4000000000005</v>
      </c>
      <c r="H38" s="54">
        <f t="shared" si="3"/>
        <v>6556.362000000001</v>
      </c>
    </row>
    <row r="39" spans="2:8" x14ac:dyDescent="0.3">
      <c r="B39" s="79" t="s">
        <v>195</v>
      </c>
      <c r="C39" s="6">
        <f t="shared" si="3"/>
        <v>0</v>
      </c>
      <c r="D39" s="6">
        <f t="shared" si="3"/>
        <v>2000</v>
      </c>
      <c r="E39" s="6">
        <f t="shared" si="3"/>
        <v>2500</v>
      </c>
      <c r="F39" s="6">
        <f t="shared" si="3"/>
        <v>2575</v>
      </c>
      <c r="G39" s="6">
        <f t="shared" si="3"/>
        <v>2652.25</v>
      </c>
      <c r="H39" s="54">
        <f t="shared" si="3"/>
        <v>2731.8175000000001</v>
      </c>
    </row>
    <row r="40" spans="2:8" x14ac:dyDescent="0.3">
      <c r="B40" s="79" t="s">
        <v>101</v>
      </c>
      <c r="C40" s="6">
        <f t="shared" si="3"/>
        <v>0</v>
      </c>
      <c r="D40" s="6">
        <f t="shared" si="3"/>
        <v>0</v>
      </c>
      <c r="E40" s="6">
        <f t="shared" si="3"/>
        <v>0</v>
      </c>
      <c r="F40" s="6">
        <f t="shared" si="3"/>
        <v>0</v>
      </c>
      <c r="G40" s="6">
        <f t="shared" si="3"/>
        <v>0</v>
      </c>
      <c r="H40" s="54">
        <f t="shared" si="3"/>
        <v>0</v>
      </c>
    </row>
    <row r="41" spans="2:8" x14ac:dyDescent="0.3">
      <c r="B41" s="18" t="s">
        <v>197</v>
      </c>
      <c r="C41" s="6">
        <f t="shared" ref="C41:H41" si="4">SUM(C36:C40)</f>
        <v>30000</v>
      </c>
      <c r="D41" s="6">
        <f t="shared" si="4"/>
        <v>18000</v>
      </c>
      <c r="E41" s="6">
        <f t="shared" si="4"/>
        <v>20500</v>
      </c>
      <c r="F41" s="6">
        <f t="shared" si="4"/>
        <v>21115</v>
      </c>
      <c r="G41" s="6">
        <f t="shared" si="4"/>
        <v>21748.45</v>
      </c>
      <c r="H41" s="54">
        <f t="shared" si="4"/>
        <v>22400.903500000004</v>
      </c>
    </row>
    <row r="42" spans="2:8" x14ac:dyDescent="0.3">
      <c r="B42" s="24" t="s">
        <v>10</v>
      </c>
      <c r="C42" s="6">
        <f>C41</f>
        <v>30000</v>
      </c>
      <c r="D42" s="6">
        <f t="shared" ref="D42:H42" si="5">D41</f>
        <v>18000</v>
      </c>
      <c r="E42" s="6">
        <f t="shared" si="5"/>
        <v>20500</v>
      </c>
      <c r="F42" s="6">
        <f t="shared" si="5"/>
        <v>21115</v>
      </c>
      <c r="G42" s="6">
        <f t="shared" si="5"/>
        <v>21748.45</v>
      </c>
      <c r="H42" s="54">
        <f t="shared" si="5"/>
        <v>22400.903500000004</v>
      </c>
    </row>
    <row r="43" spans="2:8" ht="13.5" thickBot="1" x14ac:dyDescent="0.35">
      <c r="B43" s="7" t="s">
        <v>237</v>
      </c>
      <c r="C43" s="8">
        <f>(C33-C42)</f>
        <v>-30000</v>
      </c>
      <c r="D43" s="8">
        <f>D33-D42</f>
        <v>1482000</v>
      </c>
      <c r="E43" s="8">
        <f>E33-E42</f>
        <v>1979500</v>
      </c>
      <c r="F43" s="8">
        <f>F33-F42</f>
        <v>2038885</v>
      </c>
      <c r="G43" s="8">
        <f>G33-G42</f>
        <v>2100051.5499999998</v>
      </c>
      <c r="H43" s="55">
        <f>H33-H42</f>
        <v>2163053.0965</v>
      </c>
    </row>
    <row r="44" spans="2:8" s="90" customFormat="1" ht="13.5" thickBot="1" x14ac:dyDescent="0.35">
      <c r="B44" s="89"/>
      <c r="C44" s="89"/>
      <c r="D44" s="89"/>
      <c r="E44" s="89"/>
      <c r="F44" s="89"/>
      <c r="G44" s="89"/>
      <c r="H44" s="89"/>
    </row>
    <row r="45" spans="2:8" x14ac:dyDescent="0.3">
      <c r="B45" s="15" t="s">
        <v>22</v>
      </c>
      <c r="C45" s="25" t="s">
        <v>82</v>
      </c>
      <c r="D45" s="25" t="s">
        <v>83</v>
      </c>
      <c r="E45" s="25" t="s">
        <v>84</v>
      </c>
      <c r="F45" s="25" t="s">
        <v>85</v>
      </c>
      <c r="G45" s="105" t="s">
        <v>86</v>
      </c>
      <c r="H45" s="35" t="s">
        <v>89</v>
      </c>
    </row>
    <row r="46" spans="2:8" x14ac:dyDescent="0.3">
      <c r="B46" s="11" t="s">
        <v>91</v>
      </c>
      <c r="C46" s="4">
        <f>C43</f>
        <v>-30000</v>
      </c>
      <c r="D46" s="4">
        <f t="shared" ref="D46:H46" si="6">D43</f>
        <v>1482000</v>
      </c>
      <c r="E46" s="4">
        <f t="shared" si="6"/>
        <v>1979500</v>
      </c>
      <c r="F46" s="4">
        <f t="shared" si="6"/>
        <v>2038885</v>
      </c>
      <c r="G46" s="4">
        <f t="shared" si="6"/>
        <v>2100051.5499999998</v>
      </c>
      <c r="H46" s="62">
        <f t="shared" si="6"/>
        <v>2163053.0965</v>
      </c>
    </row>
    <row r="47" spans="2:8" ht="13.5" thickBot="1" x14ac:dyDescent="0.35">
      <c r="B47" s="80" t="s">
        <v>90</v>
      </c>
      <c r="C47" s="78">
        <f>C46+NPV($H$25,D46:H46)</f>
        <v>7673595.2391732028</v>
      </c>
      <c r="D47" s="10"/>
      <c r="E47" s="78"/>
      <c r="F47" s="10"/>
      <c r="G47" s="100"/>
      <c r="H47" s="39"/>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A4991-6099-46CF-8F12-528CE09D4419}">
  <sheetPr>
    <tabColor rgb="FFFF9999"/>
  </sheetPr>
  <dimension ref="B1:I39"/>
  <sheetViews>
    <sheetView showGridLines="0" zoomScaleNormal="100" workbookViewId="0"/>
  </sheetViews>
  <sheetFormatPr defaultRowHeight="13" x14ac:dyDescent="0.3"/>
  <cols>
    <col min="1" max="1" width="3.36328125" style="87" customWidth="1"/>
    <col min="2" max="2" width="69.6328125" style="89" customWidth="1"/>
    <col min="3" max="3" width="19.7265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98" t="s">
        <v>102</v>
      </c>
      <c r="C2" s="85"/>
    </row>
    <row r="3" spans="2:8" x14ac:dyDescent="0.3">
      <c r="B3" s="88" t="s">
        <v>108</v>
      </c>
      <c r="C3" s="88"/>
    </row>
    <row r="4" spans="2:8" x14ac:dyDescent="0.3">
      <c r="B4" s="81" t="s">
        <v>73</v>
      </c>
      <c r="C4" s="81"/>
    </row>
    <row r="5" spans="2:8" x14ac:dyDescent="0.3">
      <c r="B5" s="81"/>
      <c r="C5" s="81"/>
    </row>
    <row r="6" spans="2:8" s="90" customFormat="1" x14ac:dyDescent="0.3">
      <c r="B6" s="85" t="s">
        <v>109</v>
      </c>
      <c r="C6" s="85"/>
      <c r="D6" s="89"/>
      <c r="E6" s="89"/>
      <c r="F6" s="89"/>
    </row>
    <row r="7" spans="2:8" s="90" customFormat="1" x14ac:dyDescent="0.3">
      <c r="B7" s="88" t="s">
        <v>110</v>
      </c>
      <c r="C7" s="88"/>
      <c r="D7" s="89"/>
      <c r="E7" s="89"/>
      <c r="F7" s="89"/>
    </row>
    <row r="8" spans="2:8" s="90" customFormat="1" ht="13.5" thickBot="1" x14ac:dyDescent="0.35">
      <c r="B8" s="88"/>
      <c r="C8" s="88"/>
      <c r="D8" s="89"/>
      <c r="E8" s="89"/>
      <c r="F8" s="89"/>
    </row>
    <row r="9" spans="2:8" s="90" customFormat="1" x14ac:dyDescent="0.3">
      <c r="B9" s="15" t="s">
        <v>21</v>
      </c>
      <c r="C9" s="25" t="s">
        <v>82</v>
      </c>
      <c r="D9" s="25" t="s">
        <v>83</v>
      </c>
      <c r="E9" s="25" t="s">
        <v>84</v>
      </c>
      <c r="F9" s="25" t="s">
        <v>85</v>
      </c>
      <c r="G9" s="105" t="s">
        <v>86</v>
      </c>
      <c r="H9" s="35" t="s">
        <v>89</v>
      </c>
    </row>
    <row r="10" spans="2:8" s="90" customFormat="1" ht="14.5" x14ac:dyDescent="0.35">
      <c r="B10" s="19"/>
      <c r="C10" s="44"/>
      <c r="D10" s="44"/>
      <c r="E10" s="44"/>
      <c r="F10" s="44"/>
      <c r="G10" s="2"/>
      <c r="H10" s="36"/>
    </row>
    <row r="11" spans="2:8" s="90" customFormat="1" ht="14.5" x14ac:dyDescent="0.35">
      <c r="B11" s="17" t="s">
        <v>41</v>
      </c>
      <c r="C11" s="43"/>
      <c r="D11" s="43"/>
      <c r="E11" s="43"/>
      <c r="F11" s="43"/>
      <c r="G11" s="103"/>
      <c r="H11" s="37"/>
    </row>
    <row r="12" spans="2:8" s="90" customFormat="1" x14ac:dyDescent="0.3">
      <c r="B12" s="18" t="s">
        <v>138</v>
      </c>
      <c r="C12" s="52">
        <v>0</v>
      </c>
      <c r="D12" s="52">
        <v>100</v>
      </c>
      <c r="E12" s="52">
        <v>150</v>
      </c>
      <c r="F12" s="9">
        <f t="shared" ref="F12:H16" si="0">E12*(1+F$19)</f>
        <v>154.5</v>
      </c>
      <c r="G12" s="9">
        <f t="shared" si="0"/>
        <v>159.13499999999999</v>
      </c>
      <c r="H12" s="59">
        <f t="shared" si="0"/>
        <v>163.90905000000001</v>
      </c>
    </row>
    <row r="13" spans="2:8" s="90" customFormat="1" x14ac:dyDescent="0.3">
      <c r="B13" s="18" t="s">
        <v>49</v>
      </c>
      <c r="C13" s="49">
        <v>0</v>
      </c>
      <c r="D13" s="49">
        <v>160</v>
      </c>
      <c r="E13" s="49">
        <v>180</v>
      </c>
      <c r="F13" s="66">
        <f t="shared" si="0"/>
        <v>185.4</v>
      </c>
      <c r="G13" s="66">
        <f t="shared" si="0"/>
        <v>190.96200000000002</v>
      </c>
      <c r="H13" s="68">
        <f t="shared" si="0"/>
        <v>196.69086000000001</v>
      </c>
    </row>
    <row r="14" spans="2:8" s="90" customFormat="1" x14ac:dyDescent="0.3">
      <c r="B14" s="18" t="s">
        <v>111</v>
      </c>
      <c r="C14" s="45">
        <v>0</v>
      </c>
      <c r="D14" s="45">
        <v>100</v>
      </c>
      <c r="E14" s="45">
        <v>150</v>
      </c>
      <c r="F14" s="32">
        <f t="shared" si="0"/>
        <v>154.5</v>
      </c>
      <c r="G14" s="32">
        <f t="shared" si="0"/>
        <v>159.13499999999999</v>
      </c>
      <c r="H14" s="56">
        <f t="shared" si="0"/>
        <v>163.90905000000001</v>
      </c>
    </row>
    <row r="15" spans="2:8" s="90" customFormat="1" x14ac:dyDescent="0.3">
      <c r="B15" s="18" t="s">
        <v>114</v>
      </c>
      <c r="C15" s="42">
        <v>0</v>
      </c>
      <c r="D15" s="42">
        <v>0</v>
      </c>
      <c r="E15" s="42">
        <v>0</v>
      </c>
      <c r="F15" s="66">
        <f t="shared" si="0"/>
        <v>0</v>
      </c>
      <c r="G15" s="66">
        <f t="shared" si="0"/>
        <v>0</v>
      </c>
      <c r="H15" s="68">
        <f t="shared" si="0"/>
        <v>0</v>
      </c>
    </row>
    <row r="16" spans="2:8" s="90" customFormat="1" x14ac:dyDescent="0.3">
      <c r="B16" s="18" t="s">
        <v>112</v>
      </c>
      <c r="C16" s="42">
        <v>0</v>
      </c>
      <c r="D16" s="42">
        <v>0</v>
      </c>
      <c r="E16" s="42">
        <v>0</v>
      </c>
      <c r="F16" s="66">
        <f t="shared" si="0"/>
        <v>0</v>
      </c>
      <c r="G16" s="66">
        <f t="shared" si="0"/>
        <v>0</v>
      </c>
      <c r="H16" s="68">
        <f t="shared" si="0"/>
        <v>0</v>
      </c>
    </row>
    <row r="17" spans="2:8" s="90" customFormat="1" ht="14.5" x14ac:dyDescent="0.35">
      <c r="B17" s="18"/>
      <c r="C17" s="46"/>
      <c r="D17" s="46"/>
      <c r="E17" s="46"/>
      <c r="F17" s="46"/>
      <c r="G17" s="2"/>
      <c r="H17" s="36"/>
    </row>
    <row r="18" spans="2:8" s="90" customFormat="1" ht="14.5" x14ac:dyDescent="0.35">
      <c r="B18" s="17" t="s">
        <v>66</v>
      </c>
      <c r="C18" s="26"/>
      <c r="D18" s="26"/>
      <c r="E18" s="26"/>
      <c r="F18" s="26"/>
      <c r="G18" s="103"/>
      <c r="H18" s="37"/>
    </row>
    <row r="19" spans="2:8" s="90" customFormat="1" x14ac:dyDescent="0.3">
      <c r="B19" s="63" t="s">
        <v>35</v>
      </c>
      <c r="C19" s="27"/>
      <c r="D19" s="51">
        <v>0.03</v>
      </c>
      <c r="E19" s="51">
        <v>0.03</v>
      </c>
      <c r="F19" s="51">
        <v>0.03</v>
      </c>
      <c r="G19" s="51">
        <v>0.03</v>
      </c>
      <c r="H19" s="65">
        <v>0.03</v>
      </c>
    </row>
    <row r="20" spans="2:8" s="90" customFormat="1" ht="16" customHeight="1" thickBot="1" x14ac:dyDescent="0.35">
      <c r="B20" s="21" t="s">
        <v>15</v>
      </c>
      <c r="C20" s="28"/>
      <c r="D20" s="53"/>
      <c r="E20" s="53"/>
      <c r="F20" s="53"/>
      <c r="G20" s="53"/>
      <c r="H20" s="82">
        <v>0.08</v>
      </c>
    </row>
    <row r="21" spans="2:8" s="90" customFormat="1" ht="18" customHeight="1" thickBot="1" x14ac:dyDescent="0.35">
      <c r="B21" s="88"/>
      <c r="C21" s="88"/>
      <c r="D21" s="89"/>
      <c r="E21" s="89"/>
      <c r="F21" s="89"/>
    </row>
    <row r="22" spans="2:8" x14ac:dyDescent="0.3">
      <c r="B22" s="40" t="s">
        <v>117</v>
      </c>
      <c r="C22" s="25" t="s">
        <v>82</v>
      </c>
      <c r="D22" s="25" t="s">
        <v>83</v>
      </c>
      <c r="E22" s="25" t="s">
        <v>84</v>
      </c>
      <c r="F22" s="25" t="s">
        <v>85</v>
      </c>
      <c r="G22" s="25" t="s">
        <v>86</v>
      </c>
      <c r="H22" s="41" t="s">
        <v>89</v>
      </c>
    </row>
    <row r="23" spans="2:8" x14ac:dyDescent="0.3">
      <c r="B23" s="5" t="s">
        <v>0</v>
      </c>
      <c r="C23" s="99"/>
      <c r="D23" s="89"/>
      <c r="E23" s="89"/>
      <c r="F23" s="89"/>
      <c r="G23" s="90"/>
      <c r="H23" s="91"/>
    </row>
    <row r="24" spans="2:8" ht="14" customHeight="1" x14ac:dyDescent="0.3">
      <c r="B24" s="79" t="s">
        <v>113</v>
      </c>
      <c r="C24" s="32">
        <f>'10. New purchase sales (rental)'!C12</f>
        <v>0</v>
      </c>
      <c r="D24" s="32">
        <f>'10. New purchase sales (rental)'!D12</f>
        <v>100</v>
      </c>
      <c r="E24" s="32">
        <f>'10. New purchase sales (rental)'!E12</f>
        <v>150</v>
      </c>
      <c r="F24" s="32">
        <f>'10. New purchase sales (rental)'!F12</f>
        <v>154.5</v>
      </c>
      <c r="G24" s="32">
        <f>'10. New purchase sales (rental)'!G12</f>
        <v>159.13499999999999</v>
      </c>
      <c r="H24" s="56">
        <f>'10. New purchase sales (rental)'!H12</f>
        <v>163.90905000000001</v>
      </c>
    </row>
    <row r="25" spans="2:8" ht="14.5" customHeight="1" x14ac:dyDescent="0.3">
      <c r="B25" s="79" t="s">
        <v>49</v>
      </c>
      <c r="C25" s="30">
        <f>'10. New purchase sales (rental)'!C13</f>
        <v>0</v>
      </c>
      <c r="D25" s="30">
        <f>'10. New purchase sales (rental)'!D13</f>
        <v>160</v>
      </c>
      <c r="E25" s="30">
        <f>'10. New purchase sales (rental)'!E13</f>
        <v>180</v>
      </c>
      <c r="F25" s="30">
        <f>'10. New purchase sales (rental)'!F13</f>
        <v>185.4</v>
      </c>
      <c r="G25" s="30">
        <f>'10. New purchase sales (rental)'!G13</f>
        <v>190.96200000000002</v>
      </c>
      <c r="H25" s="58">
        <f>'10. New purchase sales (rental)'!H13</f>
        <v>196.69086000000001</v>
      </c>
    </row>
    <row r="26" spans="2:8" x14ac:dyDescent="0.3">
      <c r="B26" s="79" t="s">
        <v>72</v>
      </c>
      <c r="C26" s="30">
        <f>C24*C25</f>
        <v>0</v>
      </c>
      <c r="D26" s="30">
        <f>D24*D25</f>
        <v>16000</v>
      </c>
      <c r="E26" s="30">
        <f t="shared" ref="E26:H26" si="1">E24*E25</f>
        <v>27000</v>
      </c>
      <c r="F26" s="30">
        <f t="shared" si="1"/>
        <v>28644.3</v>
      </c>
      <c r="G26" s="30">
        <f t="shared" si="1"/>
        <v>30388.737870000001</v>
      </c>
      <c r="H26" s="58">
        <f t="shared" si="1"/>
        <v>32239.412006283004</v>
      </c>
    </row>
    <row r="27" spans="2:8" x14ac:dyDescent="0.3">
      <c r="B27" s="24" t="s">
        <v>9</v>
      </c>
      <c r="C27" s="30">
        <f>SUM(C26)</f>
        <v>0</v>
      </c>
      <c r="D27" s="30">
        <f>SUM(D26)</f>
        <v>16000</v>
      </c>
      <c r="E27" s="30">
        <f t="shared" ref="E27:H27" si="2">SUM(E26)</f>
        <v>27000</v>
      </c>
      <c r="F27" s="30">
        <f t="shared" si="2"/>
        <v>28644.3</v>
      </c>
      <c r="G27" s="30">
        <f t="shared" si="2"/>
        <v>30388.737870000001</v>
      </c>
      <c r="H27" s="58">
        <f t="shared" si="2"/>
        <v>32239.412006283004</v>
      </c>
    </row>
    <row r="28" spans="2:8" x14ac:dyDescent="0.3">
      <c r="B28" s="5" t="s">
        <v>1</v>
      </c>
      <c r="C28" s="30"/>
      <c r="D28" s="30"/>
      <c r="E28" s="30"/>
      <c r="F28" s="30"/>
      <c r="G28" s="30"/>
      <c r="H28" s="58"/>
    </row>
    <row r="29" spans="2:8" ht="13.5" customHeight="1" x14ac:dyDescent="0.3">
      <c r="B29" s="75" t="s">
        <v>118</v>
      </c>
      <c r="C29" s="32">
        <f>'10. New purchase sales (rental)'!C14</f>
        <v>0</v>
      </c>
      <c r="D29" s="32">
        <f>'10. New purchase sales (rental)'!D14</f>
        <v>100</v>
      </c>
      <c r="E29" s="32">
        <f>'10. New purchase sales (rental)'!E14</f>
        <v>150</v>
      </c>
      <c r="F29" s="32">
        <f>'10. New purchase sales (rental)'!F14</f>
        <v>154.5</v>
      </c>
      <c r="G29" s="32">
        <f>'10. New purchase sales (rental)'!G14</f>
        <v>159.13499999999999</v>
      </c>
      <c r="H29" s="56">
        <f>'10. New purchase sales (rental)'!H14</f>
        <v>163.90905000000001</v>
      </c>
    </row>
    <row r="30" spans="2:8" x14ac:dyDescent="0.3">
      <c r="B30" s="75" t="s">
        <v>115</v>
      </c>
      <c r="C30" s="30">
        <f>'10. New purchase sales (rental)'!C15</f>
        <v>0</v>
      </c>
      <c r="D30" s="30">
        <f>'10. New purchase sales (rental)'!D15</f>
        <v>0</v>
      </c>
      <c r="E30" s="30">
        <f>'10. New purchase sales (rental)'!E15</f>
        <v>0</v>
      </c>
      <c r="F30" s="30">
        <f>'10. New purchase sales (rental)'!F15</f>
        <v>0</v>
      </c>
      <c r="G30" s="30">
        <f>'10. New purchase sales (rental)'!G15</f>
        <v>0</v>
      </c>
      <c r="H30" s="58">
        <f>'10. New purchase sales (rental)'!H15</f>
        <v>0</v>
      </c>
    </row>
    <row r="31" spans="2:8" x14ac:dyDescent="0.3">
      <c r="B31" s="75" t="s">
        <v>116</v>
      </c>
      <c r="C31" s="6">
        <f t="shared" ref="C31:H31" si="3">C30*C29</f>
        <v>0</v>
      </c>
      <c r="D31" s="6">
        <f t="shared" si="3"/>
        <v>0</v>
      </c>
      <c r="E31" s="6">
        <f t="shared" si="3"/>
        <v>0</v>
      </c>
      <c r="F31" s="6">
        <f t="shared" si="3"/>
        <v>0</v>
      </c>
      <c r="G31" s="6">
        <f t="shared" si="3"/>
        <v>0</v>
      </c>
      <c r="H31" s="54">
        <f t="shared" si="3"/>
        <v>0</v>
      </c>
    </row>
    <row r="32" spans="2:8" x14ac:dyDescent="0.3">
      <c r="B32" s="75" t="s">
        <v>101</v>
      </c>
      <c r="C32" s="6">
        <f>C16</f>
        <v>0</v>
      </c>
      <c r="D32" s="6">
        <f t="shared" ref="D32:H32" si="4">D16</f>
        <v>0</v>
      </c>
      <c r="E32" s="6">
        <f t="shared" si="4"/>
        <v>0</v>
      </c>
      <c r="F32" s="6">
        <f t="shared" si="4"/>
        <v>0</v>
      </c>
      <c r="G32" s="6">
        <f t="shared" si="4"/>
        <v>0</v>
      </c>
      <c r="H32" s="54">
        <f t="shared" si="4"/>
        <v>0</v>
      </c>
    </row>
    <row r="33" spans="2:9" x14ac:dyDescent="0.3">
      <c r="B33" s="24" t="s">
        <v>10</v>
      </c>
      <c r="C33" s="6">
        <f>C31+C32</f>
        <v>0</v>
      </c>
      <c r="D33" s="6">
        <f t="shared" ref="D33:H33" si="5">D31+D32</f>
        <v>0</v>
      </c>
      <c r="E33" s="6">
        <f t="shared" si="5"/>
        <v>0</v>
      </c>
      <c r="F33" s="6">
        <f t="shared" si="5"/>
        <v>0</v>
      </c>
      <c r="G33" s="6">
        <f t="shared" si="5"/>
        <v>0</v>
      </c>
      <c r="H33" s="54">
        <f t="shared" si="5"/>
        <v>0</v>
      </c>
    </row>
    <row r="34" spans="2:9" ht="13.5" thickBot="1" x14ac:dyDescent="0.35">
      <c r="B34" s="7" t="s">
        <v>94</v>
      </c>
      <c r="C34" s="8">
        <f t="shared" ref="C34:H34" si="6">C27-C33</f>
        <v>0</v>
      </c>
      <c r="D34" s="8">
        <f t="shared" si="6"/>
        <v>16000</v>
      </c>
      <c r="E34" s="8">
        <f t="shared" si="6"/>
        <v>27000</v>
      </c>
      <c r="F34" s="8">
        <f t="shared" si="6"/>
        <v>28644.3</v>
      </c>
      <c r="G34" s="8">
        <f t="shared" si="6"/>
        <v>30388.737870000001</v>
      </c>
      <c r="H34" s="55">
        <f t="shared" si="6"/>
        <v>32239.412006283004</v>
      </c>
      <c r="I34" s="92"/>
    </row>
    <row r="35" spans="2:9" s="95" customFormat="1" x14ac:dyDescent="0.3">
      <c r="B35" s="130" t="s">
        <v>173</v>
      </c>
      <c r="C35" s="93"/>
      <c r="D35" s="94"/>
      <c r="E35" s="94"/>
      <c r="F35" s="94"/>
      <c r="G35" s="94"/>
      <c r="H35" s="94"/>
    </row>
    <row r="36" spans="2:9" s="90" customFormat="1" ht="13.5" thickBot="1" x14ac:dyDescent="0.35">
      <c r="B36" s="89"/>
      <c r="C36" s="89"/>
      <c r="D36" s="89"/>
      <c r="E36" s="89"/>
      <c r="F36" s="89"/>
    </row>
    <row r="37" spans="2:9" x14ac:dyDescent="0.3">
      <c r="B37" s="15" t="s">
        <v>22</v>
      </c>
      <c r="C37" s="25" t="s">
        <v>82</v>
      </c>
      <c r="D37" s="25" t="s">
        <v>83</v>
      </c>
      <c r="E37" s="25" t="s">
        <v>84</v>
      </c>
      <c r="F37" s="25" t="s">
        <v>85</v>
      </c>
      <c r="G37" s="105" t="s">
        <v>86</v>
      </c>
      <c r="H37" s="35" t="s">
        <v>89</v>
      </c>
    </row>
    <row r="38" spans="2:9" x14ac:dyDescent="0.3">
      <c r="B38" s="11" t="s">
        <v>91</v>
      </c>
      <c r="C38" s="4">
        <f>C34</f>
        <v>0</v>
      </c>
      <c r="D38" s="4">
        <f t="shared" ref="D38:H38" si="7">D34</f>
        <v>16000</v>
      </c>
      <c r="E38" s="4">
        <f t="shared" si="7"/>
        <v>27000</v>
      </c>
      <c r="F38" s="4">
        <f t="shared" si="7"/>
        <v>28644.3</v>
      </c>
      <c r="G38" s="4">
        <f t="shared" si="7"/>
        <v>30388.737870000001</v>
      </c>
      <c r="H38" s="62">
        <f t="shared" si="7"/>
        <v>32239.412006283004</v>
      </c>
    </row>
    <row r="39" spans="2:9" ht="13.5" thickBot="1" x14ac:dyDescent="0.35">
      <c r="B39" s="80" t="s">
        <v>90</v>
      </c>
      <c r="C39" s="78">
        <f>C38+NPV($H$20,D38:H38)</f>
        <v>104979.96344139756</v>
      </c>
      <c r="D39" s="10"/>
      <c r="E39" s="78"/>
      <c r="F39" s="10"/>
      <c r="G39" s="100"/>
      <c r="H39" s="39"/>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766B-4328-4E1F-B128-C19C80C45E21}">
  <sheetPr>
    <tabColor rgb="FFFF9999"/>
  </sheetPr>
  <dimension ref="B1:J39"/>
  <sheetViews>
    <sheetView showGridLines="0" zoomScaleNormal="100" workbookViewId="0"/>
  </sheetViews>
  <sheetFormatPr defaultRowHeight="13" x14ac:dyDescent="0.3"/>
  <cols>
    <col min="1" max="1" width="3.36328125" style="87" customWidth="1"/>
    <col min="2" max="2" width="69.6328125" style="89" customWidth="1"/>
    <col min="3" max="3" width="19.7265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98" t="s">
        <v>102</v>
      </c>
      <c r="C2" s="85"/>
    </row>
    <row r="3" spans="2:8" x14ac:dyDescent="0.3">
      <c r="B3" s="88" t="s">
        <v>105</v>
      </c>
      <c r="C3" s="88"/>
    </row>
    <row r="4" spans="2:8" x14ac:dyDescent="0.3">
      <c r="B4" s="81" t="s">
        <v>73</v>
      </c>
      <c r="C4" s="81"/>
    </row>
    <row r="5" spans="2:8" x14ac:dyDescent="0.3">
      <c r="B5" s="81"/>
      <c r="C5" s="81"/>
    </row>
    <row r="6" spans="2:8" s="90" customFormat="1" x14ac:dyDescent="0.3">
      <c r="B6" s="85" t="s">
        <v>78</v>
      </c>
      <c r="C6" s="85"/>
      <c r="D6" s="89"/>
      <c r="E6" s="89"/>
      <c r="F6" s="89"/>
    </row>
    <row r="7" spans="2:8" s="90" customFormat="1" x14ac:dyDescent="0.3">
      <c r="B7" s="88" t="s">
        <v>103</v>
      </c>
      <c r="C7" s="88"/>
      <c r="D7" s="89"/>
      <c r="E7" s="89"/>
      <c r="F7" s="89"/>
    </row>
    <row r="8" spans="2:8" s="90" customFormat="1" ht="13.5" thickBot="1" x14ac:dyDescent="0.35">
      <c r="B8" s="88"/>
      <c r="C8" s="88"/>
      <c r="D8" s="89"/>
      <c r="E8" s="89"/>
      <c r="F8" s="89"/>
    </row>
    <row r="9" spans="2:8" s="90" customFormat="1" x14ac:dyDescent="0.3">
      <c r="B9" s="15" t="s">
        <v>21</v>
      </c>
      <c r="C9" s="25" t="s">
        <v>82</v>
      </c>
      <c r="D9" s="25" t="s">
        <v>83</v>
      </c>
      <c r="E9" s="25" t="s">
        <v>84</v>
      </c>
      <c r="F9" s="25" t="s">
        <v>85</v>
      </c>
      <c r="G9" s="105" t="s">
        <v>86</v>
      </c>
      <c r="H9" s="35" t="s">
        <v>89</v>
      </c>
    </row>
    <row r="10" spans="2:8" s="90" customFormat="1" ht="14.5" x14ac:dyDescent="0.35">
      <c r="B10" s="19"/>
      <c r="C10" s="44"/>
      <c r="D10" s="44"/>
      <c r="E10" s="44"/>
      <c r="F10" s="44"/>
      <c r="G10" s="2"/>
      <c r="H10" s="36"/>
    </row>
    <row r="11" spans="2:8" s="90" customFormat="1" ht="14.5" x14ac:dyDescent="0.35">
      <c r="B11" s="17" t="s">
        <v>41</v>
      </c>
      <c r="C11" s="43"/>
      <c r="D11" s="43"/>
      <c r="E11" s="43"/>
      <c r="F11" s="43"/>
      <c r="G11" s="103"/>
      <c r="H11" s="37"/>
    </row>
    <row r="12" spans="2:8" s="90" customFormat="1" ht="17" customHeight="1" x14ac:dyDescent="0.3">
      <c r="B12" s="18" t="s">
        <v>172</v>
      </c>
      <c r="C12" s="52">
        <v>0</v>
      </c>
      <c r="D12" s="52">
        <v>200</v>
      </c>
      <c r="E12" s="52">
        <v>250</v>
      </c>
      <c r="F12" s="9">
        <f t="shared" ref="F12:H16" si="0">E12*(1+F$19)</f>
        <v>257.5</v>
      </c>
      <c r="G12" s="9">
        <f t="shared" si="0"/>
        <v>265.22500000000002</v>
      </c>
      <c r="H12" s="59">
        <f t="shared" si="0"/>
        <v>273.18175000000002</v>
      </c>
    </row>
    <row r="13" spans="2:8" s="90" customFormat="1" x14ac:dyDescent="0.3">
      <c r="B13" s="18" t="s">
        <v>49</v>
      </c>
      <c r="C13" s="49">
        <v>0</v>
      </c>
      <c r="D13" s="49">
        <v>80</v>
      </c>
      <c r="E13" s="49">
        <v>85</v>
      </c>
      <c r="F13" s="66">
        <f t="shared" si="0"/>
        <v>87.55</v>
      </c>
      <c r="G13" s="66">
        <f t="shared" si="0"/>
        <v>90.176500000000004</v>
      </c>
      <c r="H13" s="68">
        <f t="shared" si="0"/>
        <v>92.881795000000011</v>
      </c>
    </row>
    <row r="14" spans="2:8" s="90" customFormat="1" x14ac:dyDescent="0.3">
      <c r="B14" s="18" t="s">
        <v>111</v>
      </c>
      <c r="C14" s="45">
        <v>0</v>
      </c>
      <c r="D14" s="45">
        <v>200</v>
      </c>
      <c r="E14" s="45">
        <v>250</v>
      </c>
      <c r="F14" s="32">
        <f t="shared" si="0"/>
        <v>257.5</v>
      </c>
      <c r="G14" s="32">
        <f t="shared" si="0"/>
        <v>265.22500000000002</v>
      </c>
      <c r="H14" s="56">
        <f t="shared" si="0"/>
        <v>273.18175000000002</v>
      </c>
    </row>
    <row r="15" spans="2:8" s="90" customFormat="1" x14ac:dyDescent="0.3">
      <c r="B15" s="18" t="s">
        <v>168</v>
      </c>
      <c r="C15" s="42">
        <v>0</v>
      </c>
      <c r="D15" s="42">
        <v>50</v>
      </c>
      <c r="E15" s="42">
        <v>55</v>
      </c>
      <c r="F15" s="66">
        <f t="shared" si="0"/>
        <v>56.65</v>
      </c>
      <c r="G15" s="66">
        <f t="shared" si="0"/>
        <v>58.349499999999999</v>
      </c>
      <c r="H15" s="68">
        <f t="shared" si="0"/>
        <v>60.099985000000004</v>
      </c>
    </row>
    <row r="16" spans="2:8" s="90" customFormat="1" x14ac:dyDescent="0.3">
      <c r="B16" s="18" t="s">
        <v>101</v>
      </c>
      <c r="C16" s="42">
        <v>0</v>
      </c>
      <c r="D16" s="42">
        <v>0</v>
      </c>
      <c r="E16" s="42">
        <v>0</v>
      </c>
      <c r="F16" s="66">
        <f t="shared" si="0"/>
        <v>0</v>
      </c>
      <c r="G16" s="66">
        <f t="shared" si="0"/>
        <v>0</v>
      </c>
      <c r="H16" s="68">
        <f t="shared" si="0"/>
        <v>0</v>
      </c>
    </row>
    <row r="17" spans="2:10" s="90" customFormat="1" ht="14.5" x14ac:dyDescent="0.35">
      <c r="B17" s="18"/>
      <c r="C17" s="46"/>
      <c r="D17" s="46"/>
      <c r="E17" s="46"/>
      <c r="F17" s="46"/>
      <c r="G17" s="2"/>
      <c r="H17" s="36"/>
    </row>
    <row r="18" spans="2:10" s="90" customFormat="1" ht="14.5" x14ac:dyDescent="0.35">
      <c r="B18" s="17" t="s">
        <v>66</v>
      </c>
      <c r="C18" s="26"/>
      <c r="D18" s="26"/>
      <c r="E18" s="26"/>
      <c r="F18" s="26"/>
      <c r="G18" s="103"/>
      <c r="H18" s="37"/>
    </row>
    <row r="19" spans="2:10" s="90" customFormat="1" x14ac:dyDescent="0.3">
      <c r="B19" s="63" t="s">
        <v>35</v>
      </c>
      <c r="C19" s="27"/>
      <c r="D19" s="51">
        <v>0.03</v>
      </c>
      <c r="E19" s="51">
        <v>0.03</v>
      </c>
      <c r="F19" s="51">
        <v>0.03</v>
      </c>
      <c r="G19" s="51">
        <v>0.03</v>
      </c>
      <c r="H19" s="65">
        <v>0.03</v>
      </c>
    </row>
    <row r="20" spans="2:10" s="90" customFormat="1" ht="16" customHeight="1" thickBot="1" x14ac:dyDescent="0.35">
      <c r="B20" s="21" t="s">
        <v>15</v>
      </c>
      <c r="C20" s="28"/>
      <c r="D20" s="53"/>
      <c r="E20" s="53"/>
      <c r="F20" s="53"/>
      <c r="G20" s="53"/>
      <c r="H20" s="82">
        <v>0.08</v>
      </c>
    </row>
    <row r="21" spans="2:10" s="90" customFormat="1" ht="18" customHeight="1" thickBot="1" x14ac:dyDescent="0.35">
      <c r="B21" s="88"/>
      <c r="C21" s="88"/>
      <c r="D21" s="89"/>
      <c r="E21" s="89"/>
      <c r="F21" s="89"/>
    </row>
    <row r="22" spans="2:10" ht="26" x14ac:dyDescent="0.3">
      <c r="B22" s="40" t="s">
        <v>104</v>
      </c>
      <c r="C22" s="25" t="s">
        <v>82</v>
      </c>
      <c r="D22" s="25" t="s">
        <v>83</v>
      </c>
      <c r="E22" s="25" t="s">
        <v>84</v>
      </c>
      <c r="F22" s="25" t="s">
        <v>85</v>
      </c>
      <c r="G22" s="25" t="s">
        <v>86</v>
      </c>
      <c r="H22" s="41" t="s">
        <v>89</v>
      </c>
    </row>
    <row r="23" spans="2:10" x14ac:dyDescent="0.3">
      <c r="B23" s="5" t="s">
        <v>0</v>
      </c>
      <c r="C23" s="99"/>
      <c r="D23" s="89"/>
      <c r="E23" s="89"/>
      <c r="F23" s="89"/>
      <c r="G23" s="90"/>
      <c r="H23" s="91"/>
    </row>
    <row r="24" spans="2:10" ht="11" customHeight="1" x14ac:dyDescent="0.3">
      <c r="B24" s="79" t="s">
        <v>172</v>
      </c>
      <c r="C24" s="32">
        <f>'11.New purchase sales (rep,ref)'!C12</f>
        <v>0</v>
      </c>
      <c r="D24" s="32">
        <f>'11.New purchase sales (rep,ref)'!D12</f>
        <v>200</v>
      </c>
      <c r="E24" s="32">
        <f>'11.New purchase sales (rep,ref)'!E12</f>
        <v>250</v>
      </c>
      <c r="F24" s="32">
        <f>'11.New purchase sales (rep,ref)'!F12</f>
        <v>257.5</v>
      </c>
      <c r="G24" s="32">
        <f>'11.New purchase sales (rep,ref)'!G12</f>
        <v>265.22500000000002</v>
      </c>
      <c r="H24" s="56">
        <f>'11.New purchase sales (rep,ref)'!H12</f>
        <v>273.18175000000002</v>
      </c>
    </row>
    <row r="25" spans="2:10" ht="14.5" customHeight="1" x14ac:dyDescent="0.3">
      <c r="B25" s="79" t="s">
        <v>49</v>
      </c>
      <c r="C25" s="30">
        <f>'11.New purchase sales (rep,ref)'!C13</f>
        <v>0</v>
      </c>
      <c r="D25" s="30">
        <f>'11.New purchase sales (rep,ref)'!D13</f>
        <v>80</v>
      </c>
      <c r="E25" s="30">
        <f>'11.New purchase sales (rep,ref)'!E13</f>
        <v>85</v>
      </c>
      <c r="F25" s="30">
        <f>'11.New purchase sales (rep,ref)'!F13</f>
        <v>87.55</v>
      </c>
      <c r="G25" s="30">
        <f>'11.New purchase sales (rep,ref)'!G13</f>
        <v>90.176500000000004</v>
      </c>
      <c r="H25" s="58">
        <f>'11.New purchase sales (rep,ref)'!H13</f>
        <v>92.881795000000011</v>
      </c>
    </row>
    <row r="26" spans="2:10" x14ac:dyDescent="0.3">
      <c r="B26" s="79" t="s">
        <v>72</v>
      </c>
      <c r="C26" s="30">
        <f>C24*C25</f>
        <v>0</v>
      </c>
      <c r="D26" s="30">
        <f>D24*D25</f>
        <v>16000</v>
      </c>
      <c r="E26" s="30">
        <f t="shared" ref="E26:H26" si="1">E24*E25</f>
        <v>21250</v>
      </c>
      <c r="F26" s="30">
        <f t="shared" si="1"/>
        <v>22544.125</v>
      </c>
      <c r="G26" s="30">
        <f t="shared" si="1"/>
        <v>23917.062212500005</v>
      </c>
      <c r="H26" s="58">
        <f t="shared" si="1"/>
        <v>25373.611301241253</v>
      </c>
      <c r="J26" s="92"/>
    </row>
    <row r="27" spans="2:10" x14ac:dyDescent="0.3">
      <c r="B27" s="24" t="s">
        <v>9</v>
      </c>
      <c r="C27" s="30">
        <f>SUM(C26)</f>
        <v>0</v>
      </c>
      <c r="D27" s="30">
        <f>SUM(D26)</f>
        <v>16000</v>
      </c>
      <c r="E27" s="30">
        <f t="shared" ref="E27:H27" si="2">SUM(E26)</f>
        <v>21250</v>
      </c>
      <c r="F27" s="30">
        <f t="shared" si="2"/>
        <v>22544.125</v>
      </c>
      <c r="G27" s="30">
        <f t="shared" si="2"/>
        <v>23917.062212500005</v>
      </c>
      <c r="H27" s="58">
        <f t="shared" si="2"/>
        <v>25373.611301241253</v>
      </c>
    </row>
    <row r="28" spans="2:10" x14ac:dyDescent="0.3">
      <c r="B28" s="5" t="s">
        <v>1</v>
      </c>
      <c r="C28" s="30"/>
      <c r="D28" s="30"/>
      <c r="E28" s="30"/>
      <c r="F28" s="30"/>
      <c r="G28" s="30"/>
      <c r="H28" s="58"/>
    </row>
    <row r="29" spans="2:10" ht="13.5" customHeight="1" x14ac:dyDescent="0.3">
      <c r="B29" s="79" t="s">
        <v>111</v>
      </c>
      <c r="C29" s="32">
        <f>'11.New purchase sales (rep,ref)'!C14</f>
        <v>0</v>
      </c>
      <c r="D29" s="83">
        <f>'11.New purchase sales (rep,ref)'!D14</f>
        <v>200</v>
      </c>
      <c r="E29" s="83">
        <f>'11.New purchase sales (rep,ref)'!E14</f>
        <v>250</v>
      </c>
      <c r="F29" s="83">
        <f>'11.New purchase sales (rep,ref)'!F14</f>
        <v>257.5</v>
      </c>
      <c r="G29" s="83">
        <f>'11.New purchase sales (rep,ref)'!G14</f>
        <v>265.22500000000002</v>
      </c>
      <c r="H29" s="84">
        <f>'11.New purchase sales (rep,ref)'!H14</f>
        <v>273.18175000000002</v>
      </c>
    </row>
    <row r="30" spans="2:10" x14ac:dyDescent="0.3">
      <c r="B30" s="79" t="s">
        <v>168</v>
      </c>
      <c r="C30" s="30">
        <f>'11.New purchase sales (rep,ref)'!C15</f>
        <v>0</v>
      </c>
      <c r="D30" s="30">
        <f>'11.New purchase sales (rep,ref)'!D15</f>
        <v>50</v>
      </c>
      <c r="E30" s="30">
        <f>'11.New purchase sales (rep,ref)'!E15</f>
        <v>55</v>
      </c>
      <c r="F30" s="30">
        <f>'11.New purchase sales (rep,ref)'!F15</f>
        <v>56.65</v>
      </c>
      <c r="G30" s="30">
        <f>'11.New purchase sales (rep,ref)'!G15</f>
        <v>58.349499999999999</v>
      </c>
      <c r="H30" s="58">
        <f>'11.New purchase sales (rep,ref)'!H15</f>
        <v>60.099985000000004</v>
      </c>
    </row>
    <row r="31" spans="2:10" ht="16" customHeight="1" x14ac:dyDescent="0.3">
      <c r="B31" s="75" t="s">
        <v>167</v>
      </c>
      <c r="C31" s="6">
        <f t="shared" ref="C31:H31" si="3">C30*C29</f>
        <v>0</v>
      </c>
      <c r="D31" s="6">
        <f t="shared" si="3"/>
        <v>10000</v>
      </c>
      <c r="E31" s="6">
        <f t="shared" si="3"/>
        <v>13750</v>
      </c>
      <c r="F31" s="6">
        <f t="shared" si="3"/>
        <v>14587.375</v>
      </c>
      <c r="G31" s="6">
        <f t="shared" si="3"/>
        <v>15475.7461375</v>
      </c>
      <c r="H31" s="54">
        <f t="shared" si="3"/>
        <v>16418.219077273752</v>
      </c>
    </row>
    <row r="32" spans="2:10" x14ac:dyDescent="0.3">
      <c r="B32" s="75" t="s">
        <v>101</v>
      </c>
      <c r="C32" s="6">
        <f>C16</f>
        <v>0</v>
      </c>
      <c r="D32" s="6">
        <f t="shared" ref="D32:H32" si="4">D16</f>
        <v>0</v>
      </c>
      <c r="E32" s="6">
        <f t="shared" si="4"/>
        <v>0</v>
      </c>
      <c r="F32" s="6">
        <f t="shared" si="4"/>
        <v>0</v>
      </c>
      <c r="G32" s="6">
        <f t="shared" si="4"/>
        <v>0</v>
      </c>
      <c r="H32" s="54">
        <f t="shared" si="4"/>
        <v>0</v>
      </c>
    </row>
    <row r="33" spans="2:9" x14ac:dyDescent="0.3">
      <c r="B33" s="24" t="s">
        <v>10</v>
      </c>
      <c r="C33" s="6">
        <f>C31+C32</f>
        <v>0</v>
      </c>
      <c r="D33" s="6">
        <f t="shared" ref="D33:H33" si="5">D31+D32</f>
        <v>10000</v>
      </c>
      <c r="E33" s="6">
        <f t="shared" si="5"/>
        <v>13750</v>
      </c>
      <c r="F33" s="6">
        <f t="shared" si="5"/>
        <v>14587.375</v>
      </c>
      <c r="G33" s="6">
        <f t="shared" si="5"/>
        <v>15475.7461375</v>
      </c>
      <c r="H33" s="54">
        <f t="shared" si="5"/>
        <v>16418.219077273752</v>
      </c>
    </row>
    <row r="34" spans="2:9" ht="13.5" thickBot="1" x14ac:dyDescent="0.35">
      <c r="B34" s="7" t="s">
        <v>94</v>
      </c>
      <c r="C34" s="8">
        <f t="shared" ref="C34:H34" si="6">C27-C33</f>
        <v>0</v>
      </c>
      <c r="D34" s="8">
        <f t="shared" si="6"/>
        <v>6000</v>
      </c>
      <c r="E34" s="8">
        <f t="shared" si="6"/>
        <v>7500</v>
      </c>
      <c r="F34" s="8">
        <f t="shared" si="6"/>
        <v>7956.75</v>
      </c>
      <c r="G34" s="8">
        <f t="shared" si="6"/>
        <v>8441.3160750000043</v>
      </c>
      <c r="H34" s="55">
        <f t="shared" si="6"/>
        <v>8955.3922239675012</v>
      </c>
      <c r="I34" s="92"/>
    </row>
    <row r="35" spans="2:9" s="95" customFormat="1" x14ac:dyDescent="0.3">
      <c r="B35" s="130" t="s">
        <v>165</v>
      </c>
      <c r="C35" s="93"/>
      <c r="D35" s="94"/>
      <c r="E35" s="94"/>
      <c r="F35" s="94"/>
      <c r="G35" s="94"/>
      <c r="H35" s="94"/>
    </row>
    <row r="36" spans="2:9" s="90" customFormat="1" ht="13.5" thickBot="1" x14ac:dyDescent="0.35">
      <c r="B36" s="89"/>
      <c r="C36" s="89"/>
      <c r="D36" s="89"/>
      <c r="E36" s="89"/>
      <c r="F36" s="89"/>
    </row>
    <row r="37" spans="2:9" x14ac:dyDescent="0.3">
      <c r="B37" s="15" t="s">
        <v>22</v>
      </c>
      <c r="C37" s="25" t="s">
        <v>82</v>
      </c>
      <c r="D37" s="25" t="s">
        <v>83</v>
      </c>
      <c r="E37" s="25" t="s">
        <v>84</v>
      </c>
      <c r="F37" s="25" t="s">
        <v>85</v>
      </c>
      <c r="G37" s="105" t="s">
        <v>86</v>
      </c>
      <c r="H37" s="35" t="s">
        <v>89</v>
      </c>
    </row>
    <row r="38" spans="2:9" x14ac:dyDescent="0.3">
      <c r="B38" s="11" t="s">
        <v>91</v>
      </c>
      <c r="C38" s="4">
        <f>C34</f>
        <v>0</v>
      </c>
      <c r="D38" s="4">
        <f t="shared" ref="D38:H38" si="7">D34</f>
        <v>6000</v>
      </c>
      <c r="E38" s="4">
        <f t="shared" si="7"/>
        <v>7500</v>
      </c>
      <c r="F38" s="4">
        <f t="shared" si="7"/>
        <v>7956.75</v>
      </c>
      <c r="G38" s="4">
        <f t="shared" si="7"/>
        <v>8441.3160750000043</v>
      </c>
      <c r="H38" s="62">
        <f t="shared" si="7"/>
        <v>8955.3922239675012</v>
      </c>
    </row>
    <row r="39" spans="2:9" ht="13.5" thickBot="1" x14ac:dyDescent="0.35">
      <c r="B39" s="80" t="s">
        <v>90</v>
      </c>
      <c r="C39" s="78">
        <f>C38+NPV($H$20,D38:H38)</f>
        <v>30601.430174050765</v>
      </c>
      <c r="D39" s="10"/>
      <c r="E39" s="78"/>
      <c r="F39" s="10"/>
      <c r="G39" s="100"/>
      <c r="H39" s="39"/>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79FF-7225-4F5D-B432-7D8EAE2CB83B}">
  <sheetPr>
    <tabColor theme="8"/>
  </sheetPr>
  <dimension ref="B1:H46"/>
  <sheetViews>
    <sheetView showGridLines="0" zoomScaleNormal="100" workbookViewId="0"/>
  </sheetViews>
  <sheetFormatPr defaultRowHeight="13" x14ac:dyDescent="0.3"/>
  <cols>
    <col min="1" max="1" width="3.36328125" style="87" customWidth="1"/>
    <col min="2" max="2" width="69.6328125" style="89" customWidth="1"/>
    <col min="3" max="3" width="22.81640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85" t="s">
        <v>119</v>
      </c>
      <c r="C2" s="85"/>
    </row>
    <row r="3" spans="2:8" x14ac:dyDescent="0.3">
      <c r="B3" s="81" t="s">
        <v>73</v>
      </c>
      <c r="C3" s="81"/>
    </row>
    <row r="5" spans="2:8" s="90" customFormat="1" x14ac:dyDescent="0.3">
      <c r="B5" s="85" t="s">
        <v>120</v>
      </c>
      <c r="C5" s="85"/>
      <c r="D5" s="89"/>
      <c r="E5" s="89"/>
      <c r="F5" s="89"/>
    </row>
    <row r="6" spans="2:8" s="90" customFormat="1" x14ac:dyDescent="0.3">
      <c r="B6" s="88" t="s">
        <v>121</v>
      </c>
      <c r="C6" s="88"/>
      <c r="D6" s="89"/>
      <c r="E6" s="89"/>
      <c r="F6" s="89"/>
    </row>
    <row r="7" spans="2:8" s="90" customFormat="1" ht="13.5" thickBot="1" x14ac:dyDescent="0.35">
      <c r="B7" s="88"/>
      <c r="C7" s="88"/>
      <c r="D7" s="89"/>
      <c r="E7" s="89"/>
      <c r="F7" s="89"/>
    </row>
    <row r="8" spans="2:8" s="90" customFormat="1" x14ac:dyDescent="0.3">
      <c r="B8" s="15" t="s">
        <v>21</v>
      </c>
      <c r="C8" s="25" t="s">
        <v>82</v>
      </c>
      <c r="D8" s="25" t="s">
        <v>83</v>
      </c>
      <c r="E8" s="25" t="s">
        <v>84</v>
      </c>
      <c r="F8" s="25" t="s">
        <v>85</v>
      </c>
      <c r="G8" s="25" t="s">
        <v>86</v>
      </c>
      <c r="H8" s="41" t="s">
        <v>89</v>
      </c>
    </row>
    <row r="9" spans="2:8" s="90" customFormat="1" x14ac:dyDescent="0.3">
      <c r="B9" s="16"/>
      <c r="C9" s="42"/>
      <c r="D9" s="42"/>
      <c r="E9" s="42"/>
      <c r="F9" s="66"/>
      <c r="G9" s="66"/>
      <c r="H9" s="68"/>
    </row>
    <row r="10" spans="2:8" s="90" customFormat="1" ht="14.5" x14ac:dyDescent="0.35">
      <c r="B10" s="17" t="s">
        <v>1</v>
      </c>
      <c r="C10" s="43"/>
      <c r="D10" s="43"/>
      <c r="E10" s="43"/>
      <c r="F10" s="43"/>
      <c r="G10" s="103"/>
      <c r="H10" s="37"/>
    </row>
    <row r="11" spans="2:8" s="90" customFormat="1" ht="14.5" x14ac:dyDescent="0.35">
      <c r="B11" s="73" t="s">
        <v>87</v>
      </c>
      <c r="C11" s="46"/>
      <c r="D11" s="46"/>
      <c r="E11" s="46"/>
      <c r="F11" s="46"/>
      <c r="G11" s="104"/>
      <c r="H11" s="101"/>
    </row>
    <row r="12" spans="2:8" s="90" customFormat="1" x14ac:dyDescent="0.3">
      <c r="B12" s="18" t="s">
        <v>134</v>
      </c>
      <c r="C12" s="42">
        <v>20000</v>
      </c>
      <c r="D12" s="102">
        <v>0</v>
      </c>
      <c r="E12" s="102">
        <v>0</v>
      </c>
      <c r="F12" s="102">
        <v>0</v>
      </c>
      <c r="G12" s="102">
        <v>0</v>
      </c>
      <c r="H12" s="106">
        <v>0</v>
      </c>
    </row>
    <row r="13" spans="2:8" s="90" customFormat="1" ht="14.5" x14ac:dyDescent="0.35">
      <c r="B13" s="73" t="s">
        <v>122</v>
      </c>
      <c r="C13" s="114"/>
      <c r="D13" s="114"/>
      <c r="E13" s="114"/>
      <c r="F13" s="114"/>
      <c r="G13" s="115"/>
      <c r="H13" s="116"/>
    </row>
    <row r="14" spans="2:8" s="90" customFormat="1" x14ac:dyDescent="0.3">
      <c r="B14" s="110" t="s">
        <v>123</v>
      </c>
      <c r="C14" s="42">
        <v>0</v>
      </c>
      <c r="D14" s="42">
        <v>50</v>
      </c>
      <c r="E14" s="42">
        <v>55</v>
      </c>
      <c r="F14" s="66">
        <f t="shared" ref="F14:H17" si="0">E14*(1+F$26)</f>
        <v>56.65</v>
      </c>
      <c r="G14" s="66">
        <f t="shared" si="0"/>
        <v>58.349499999999999</v>
      </c>
      <c r="H14" s="68">
        <f t="shared" si="0"/>
        <v>60.099985000000004</v>
      </c>
    </row>
    <row r="15" spans="2:8" s="90" customFormat="1" x14ac:dyDescent="0.3">
      <c r="B15" s="110" t="s">
        <v>124</v>
      </c>
      <c r="C15" s="42">
        <v>0</v>
      </c>
      <c r="D15" s="42">
        <v>20</v>
      </c>
      <c r="E15" s="42">
        <v>25</v>
      </c>
      <c r="F15" s="66">
        <f t="shared" si="0"/>
        <v>25.75</v>
      </c>
      <c r="G15" s="66">
        <f t="shared" si="0"/>
        <v>26.522500000000001</v>
      </c>
      <c r="H15" s="68">
        <f t="shared" si="0"/>
        <v>27.318175</v>
      </c>
    </row>
    <row r="16" spans="2:8" s="90" customFormat="1" x14ac:dyDescent="0.3">
      <c r="B16" s="110" t="s">
        <v>125</v>
      </c>
      <c r="C16" s="42">
        <v>0</v>
      </c>
      <c r="D16" s="42">
        <v>30</v>
      </c>
      <c r="E16" s="42">
        <v>30</v>
      </c>
      <c r="F16" s="66">
        <f t="shared" si="0"/>
        <v>30.900000000000002</v>
      </c>
      <c r="G16" s="66">
        <f t="shared" si="0"/>
        <v>31.827000000000002</v>
      </c>
      <c r="H16" s="68">
        <f t="shared" si="0"/>
        <v>32.78181</v>
      </c>
    </row>
    <row r="17" spans="2:8" s="90" customFormat="1" x14ac:dyDescent="0.3">
      <c r="B17" s="18" t="s">
        <v>131</v>
      </c>
      <c r="C17" s="42">
        <v>0</v>
      </c>
      <c r="D17" s="42">
        <v>10</v>
      </c>
      <c r="E17" s="42">
        <v>15</v>
      </c>
      <c r="F17" s="66">
        <f t="shared" si="0"/>
        <v>15.450000000000001</v>
      </c>
      <c r="G17" s="66">
        <f t="shared" si="0"/>
        <v>15.913500000000001</v>
      </c>
      <c r="H17" s="68">
        <f t="shared" si="0"/>
        <v>16.390905</v>
      </c>
    </row>
    <row r="18" spans="2:8" s="90" customFormat="1" x14ac:dyDescent="0.3">
      <c r="B18" s="73" t="s">
        <v>199</v>
      </c>
      <c r="C18" s="42"/>
      <c r="D18" s="42"/>
      <c r="E18" s="42"/>
      <c r="F18" s="66"/>
      <c r="G18" s="66"/>
      <c r="H18" s="68"/>
    </row>
    <row r="19" spans="2:8" s="90" customFormat="1" x14ac:dyDescent="0.3">
      <c r="B19" s="18" t="s">
        <v>101</v>
      </c>
      <c r="C19" s="42">
        <v>0</v>
      </c>
      <c r="D19" s="42">
        <v>3000</v>
      </c>
      <c r="E19" s="42">
        <v>3500</v>
      </c>
      <c r="F19" s="66">
        <f>E19*(1+F$26)</f>
        <v>3605</v>
      </c>
      <c r="G19" s="66">
        <f>F19*(1+G$26)</f>
        <v>3713.15</v>
      </c>
      <c r="H19" s="68">
        <f>G19*(1+H$26)</f>
        <v>3824.5445</v>
      </c>
    </row>
    <row r="20" spans="2:8" s="90" customFormat="1" x14ac:dyDescent="0.3">
      <c r="B20" s="18"/>
      <c r="C20" s="111"/>
      <c r="D20" s="111"/>
      <c r="E20" s="111"/>
      <c r="F20" s="112"/>
      <c r="G20" s="112"/>
      <c r="H20" s="113"/>
    </row>
    <row r="21" spans="2:8" s="90" customFormat="1" ht="14.5" x14ac:dyDescent="0.35">
      <c r="B21" s="17" t="s">
        <v>129</v>
      </c>
      <c r="C21" s="43"/>
      <c r="D21" s="43"/>
      <c r="E21" s="43"/>
      <c r="F21" s="43"/>
      <c r="G21" s="103"/>
      <c r="H21" s="37"/>
    </row>
    <row r="22" spans="2:8" s="90" customFormat="1" x14ac:dyDescent="0.3">
      <c r="B22" s="63" t="s">
        <v>198</v>
      </c>
      <c r="C22" s="46">
        <v>0</v>
      </c>
      <c r="D22" s="46">
        <v>300</v>
      </c>
      <c r="E22" s="46">
        <v>350</v>
      </c>
      <c r="F22" s="9">
        <f>E22*(1+F$26)</f>
        <v>360.5</v>
      </c>
      <c r="G22" s="9">
        <f t="shared" ref="G22:H23" si="1">F22*(1+G$26)</f>
        <v>371.315</v>
      </c>
      <c r="H22" s="59">
        <f t="shared" si="1"/>
        <v>382.45445000000001</v>
      </c>
    </row>
    <row r="23" spans="2:8" s="90" customFormat="1" x14ac:dyDescent="0.3">
      <c r="B23" s="63" t="s">
        <v>137</v>
      </c>
      <c r="C23" s="111">
        <v>0</v>
      </c>
      <c r="D23" s="111">
        <v>150</v>
      </c>
      <c r="E23" s="111">
        <v>175</v>
      </c>
      <c r="F23" s="9">
        <f>E23*(1+F$26)</f>
        <v>180.25</v>
      </c>
      <c r="G23" s="9">
        <f t="shared" si="1"/>
        <v>185.6575</v>
      </c>
      <c r="H23" s="59">
        <f t="shared" si="1"/>
        <v>191.227225</v>
      </c>
    </row>
    <row r="24" spans="2:8" s="90" customFormat="1" ht="14.5" x14ac:dyDescent="0.35">
      <c r="B24" s="18"/>
      <c r="C24" s="46"/>
      <c r="D24" s="46"/>
      <c r="E24" s="46"/>
      <c r="F24" s="46"/>
      <c r="G24" s="2"/>
      <c r="H24" s="36"/>
    </row>
    <row r="25" spans="2:8" s="90" customFormat="1" ht="14.5" x14ac:dyDescent="0.35">
      <c r="B25" s="17" t="s">
        <v>66</v>
      </c>
      <c r="C25" s="26"/>
      <c r="D25" s="26"/>
      <c r="E25" s="26"/>
      <c r="F25" s="26"/>
      <c r="G25" s="103"/>
      <c r="H25" s="37"/>
    </row>
    <row r="26" spans="2:8" s="90" customFormat="1" x14ac:dyDescent="0.3">
      <c r="B26" s="63" t="s">
        <v>35</v>
      </c>
      <c r="C26" s="27"/>
      <c r="D26" s="51">
        <v>0.03</v>
      </c>
      <c r="E26" s="51">
        <v>0.03</v>
      </c>
      <c r="F26" s="51">
        <v>0.03</v>
      </c>
      <c r="G26" s="51">
        <v>0.03</v>
      </c>
      <c r="H26" s="65">
        <v>0.03</v>
      </c>
    </row>
    <row r="27" spans="2:8" s="90" customFormat="1" ht="16" customHeight="1" thickBot="1" x14ac:dyDescent="0.35">
      <c r="B27" s="21" t="s">
        <v>15</v>
      </c>
      <c r="C27" s="28"/>
      <c r="D27" s="53"/>
      <c r="E27" s="53"/>
      <c r="F27" s="53"/>
      <c r="G27" s="53"/>
      <c r="H27" s="82">
        <v>0.08</v>
      </c>
    </row>
    <row r="28" spans="2:8" s="90" customFormat="1" ht="13.5" thickBot="1" x14ac:dyDescent="0.35">
      <c r="B28" s="88"/>
      <c r="C28" s="88"/>
      <c r="D28" s="89"/>
      <c r="E28" s="89"/>
      <c r="F28" s="89"/>
    </row>
    <row r="29" spans="2:8" ht="29.5" customHeight="1" x14ac:dyDescent="0.3">
      <c r="B29" s="40" t="s">
        <v>128</v>
      </c>
      <c r="C29" s="25" t="s">
        <v>82</v>
      </c>
      <c r="D29" s="25" t="s">
        <v>83</v>
      </c>
      <c r="E29" s="25" t="s">
        <v>84</v>
      </c>
      <c r="F29" s="25" t="s">
        <v>85</v>
      </c>
      <c r="G29" s="25" t="s">
        <v>86</v>
      </c>
      <c r="H29" s="41" t="s">
        <v>89</v>
      </c>
    </row>
    <row r="30" spans="2:8" x14ac:dyDescent="0.3">
      <c r="B30" s="5" t="s">
        <v>126</v>
      </c>
      <c r="C30" s="99"/>
      <c r="D30" s="89"/>
      <c r="E30" s="89"/>
      <c r="F30" s="89"/>
      <c r="G30" s="90"/>
      <c r="H30" s="91"/>
    </row>
    <row r="31" spans="2:8" x14ac:dyDescent="0.3">
      <c r="B31" s="75" t="s">
        <v>127</v>
      </c>
      <c r="C31" s="128">
        <f>C22</f>
        <v>0</v>
      </c>
      <c r="D31" s="128">
        <f t="shared" ref="D31:H31" si="2">D22</f>
        <v>300</v>
      </c>
      <c r="E31" s="128">
        <f t="shared" si="2"/>
        <v>350</v>
      </c>
      <c r="F31" s="128">
        <f t="shared" si="2"/>
        <v>360.5</v>
      </c>
      <c r="G31" s="128">
        <f t="shared" si="2"/>
        <v>371.315</v>
      </c>
      <c r="H31" s="129">
        <f t="shared" si="2"/>
        <v>382.45445000000001</v>
      </c>
    </row>
    <row r="32" spans="2:8" x14ac:dyDescent="0.3">
      <c r="B32" s="75" t="s">
        <v>79</v>
      </c>
      <c r="C32" s="6">
        <f>SUM(C14:C17)</f>
        <v>0</v>
      </c>
      <c r="D32" s="6">
        <f t="shared" ref="D32:H32" si="3">SUM(D14:D17)</f>
        <v>110</v>
      </c>
      <c r="E32" s="6">
        <f t="shared" si="3"/>
        <v>125</v>
      </c>
      <c r="F32" s="6">
        <f t="shared" si="3"/>
        <v>128.75</v>
      </c>
      <c r="G32" s="6">
        <f t="shared" si="3"/>
        <v>132.61250000000001</v>
      </c>
      <c r="H32" s="54">
        <f t="shared" si="3"/>
        <v>136.59087500000001</v>
      </c>
    </row>
    <row r="33" spans="2:8" x14ac:dyDescent="0.3">
      <c r="B33" s="75" t="s">
        <v>10</v>
      </c>
      <c r="C33" s="6">
        <f>C31*C32</f>
        <v>0</v>
      </c>
      <c r="D33" s="6">
        <f t="shared" ref="D33:H33" si="4">D31*D32</f>
        <v>33000</v>
      </c>
      <c r="E33" s="6">
        <f t="shared" si="4"/>
        <v>43750</v>
      </c>
      <c r="F33" s="6">
        <f t="shared" si="4"/>
        <v>46414.375</v>
      </c>
      <c r="G33" s="6">
        <f t="shared" si="4"/>
        <v>49241.010437500001</v>
      </c>
      <c r="H33" s="54">
        <f t="shared" si="4"/>
        <v>52239.787973143757</v>
      </c>
    </row>
    <row r="34" spans="2:8" x14ac:dyDescent="0.3">
      <c r="B34" s="117" t="s">
        <v>130</v>
      </c>
      <c r="C34" s="6">
        <f>C33</f>
        <v>0</v>
      </c>
      <c r="D34" s="6">
        <f t="shared" ref="D34:H34" si="5">D33</f>
        <v>33000</v>
      </c>
      <c r="E34" s="6">
        <f t="shared" si="5"/>
        <v>43750</v>
      </c>
      <c r="F34" s="6">
        <f t="shared" si="5"/>
        <v>46414.375</v>
      </c>
      <c r="G34" s="6">
        <f t="shared" si="5"/>
        <v>49241.010437500001</v>
      </c>
      <c r="H34" s="54">
        <f t="shared" si="5"/>
        <v>52239.787973143757</v>
      </c>
    </row>
    <row r="35" spans="2:8" x14ac:dyDescent="0.3">
      <c r="B35" s="5" t="s">
        <v>132</v>
      </c>
      <c r="C35" s="6"/>
      <c r="D35" s="6"/>
      <c r="E35" s="6"/>
      <c r="F35" s="6"/>
      <c r="G35" s="6"/>
      <c r="H35" s="54"/>
    </row>
    <row r="36" spans="2:8" x14ac:dyDescent="0.3">
      <c r="B36" s="79" t="s">
        <v>134</v>
      </c>
      <c r="C36" s="6">
        <f t="shared" ref="C36:H36" si="6">C12</f>
        <v>20000</v>
      </c>
      <c r="D36" s="6">
        <f t="shared" si="6"/>
        <v>0</v>
      </c>
      <c r="E36" s="6">
        <f t="shared" si="6"/>
        <v>0</v>
      </c>
      <c r="F36" s="6">
        <f t="shared" si="6"/>
        <v>0</v>
      </c>
      <c r="G36" s="6">
        <f t="shared" si="6"/>
        <v>0</v>
      </c>
      <c r="H36" s="54">
        <f t="shared" si="6"/>
        <v>0</v>
      </c>
    </row>
    <row r="37" spans="2:8" x14ac:dyDescent="0.3">
      <c r="B37" s="75" t="s">
        <v>127</v>
      </c>
      <c r="C37" s="6">
        <f>C23</f>
        <v>0</v>
      </c>
      <c r="D37" s="6">
        <f t="shared" ref="D37:H37" si="7">D23</f>
        <v>150</v>
      </c>
      <c r="E37" s="6">
        <f t="shared" si="7"/>
        <v>175</v>
      </c>
      <c r="F37" s="6">
        <f t="shared" si="7"/>
        <v>180.25</v>
      </c>
      <c r="G37" s="6">
        <f t="shared" si="7"/>
        <v>185.6575</v>
      </c>
      <c r="H37" s="54">
        <f t="shared" si="7"/>
        <v>191.227225</v>
      </c>
    </row>
    <row r="38" spans="2:8" x14ac:dyDescent="0.3">
      <c r="B38" s="75" t="s">
        <v>79</v>
      </c>
      <c r="C38" s="6">
        <f>SUM(C14:C17)</f>
        <v>0</v>
      </c>
      <c r="D38" s="6">
        <f t="shared" ref="D38:H38" si="8">SUM(D14:D17)</f>
        <v>110</v>
      </c>
      <c r="E38" s="6">
        <f t="shared" si="8"/>
        <v>125</v>
      </c>
      <c r="F38" s="6">
        <f t="shared" si="8"/>
        <v>128.75</v>
      </c>
      <c r="G38" s="6">
        <f t="shared" si="8"/>
        <v>132.61250000000001</v>
      </c>
      <c r="H38" s="54">
        <f t="shared" si="8"/>
        <v>136.59087500000001</v>
      </c>
    </row>
    <row r="39" spans="2:8" x14ac:dyDescent="0.3">
      <c r="B39" s="79" t="s">
        <v>101</v>
      </c>
      <c r="C39" s="6">
        <f>C19</f>
        <v>0</v>
      </c>
      <c r="D39" s="6">
        <f t="shared" ref="D39:H39" si="9">D19</f>
        <v>3000</v>
      </c>
      <c r="E39" s="6">
        <f t="shared" si="9"/>
        <v>3500</v>
      </c>
      <c r="F39" s="6">
        <f t="shared" si="9"/>
        <v>3605</v>
      </c>
      <c r="G39" s="6">
        <f t="shared" si="9"/>
        <v>3713.15</v>
      </c>
      <c r="H39" s="54">
        <f t="shared" si="9"/>
        <v>3824.5445</v>
      </c>
    </row>
    <row r="40" spans="2:8" x14ac:dyDescent="0.3">
      <c r="B40" s="75" t="s">
        <v>10</v>
      </c>
      <c r="C40" s="6">
        <f>(C37*C38)+C36+C39</f>
        <v>20000</v>
      </c>
      <c r="D40" s="6">
        <f t="shared" ref="D40:H40" si="10">(D37*D38)+D36+D39</f>
        <v>19500</v>
      </c>
      <c r="E40" s="6">
        <f t="shared" si="10"/>
        <v>25375</v>
      </c>
      <c r="F40" s="6">
        <f t="shared" si="10"/>
        <v>26812.1875</v>
      </c>
      <c r="G40" s="6">
        <f t="shared" si="10"/>
        <v>28333.655218750002</v>
      </c>
      <c r="H40" s="54">
        <f t="shared" si="10"/>
        <v>29944.438486571878</v>
      </c>
    </row>
    <row r="41" spans="2:8" x14ac:dyDescent="0.3">
      <c r="B41" s="117" t="s">
        <v>133</v>
      </c>
      <c r="C41" s="6">
        <f>C40</f>
        <v>20000</v>
      </c>
      <c r="D41" s="6">
        <f t="shared" ref="D41:H41" si="11">D40</f>
        <v>19500</v>
      </c>
      <c r="E41" s="6">
        <f t="shared" si="11"/>
        <v>25375</v>
      </c>
      <c r="F41" s="6">
        <f t="shared" si="11"/>
        <v>26812.1875</v>
      </c>
      <c r="G41" s="6">
        <f t="shared" si="11"/>
        <v>28333.655218750002</v>
      </c>
      <c r="H41" s="54">
        <f t="shared" si="11"/>
        <v>29944.438486571878</v>
      </c>
    </row>
    <row r="42" spans="2:8" ht="13.5" thickBot="1" x14ac:dyDescent="0.35">
      <c r="B42" s="7" t="s">
        <v>246</v>
      </c>
      <c r="C42" s="8">
        <f>(C34-C41)</f>
        <v>-20000</v>
      </c>
      <c r="D42" s="8">
        <f t="shared" ref="D42:H42" si="12">D34-D41</f>
        <v>13500</v>
      </c>
      <c r="E42" s="8">
        <f t="shared" si="12"/>
        <v>18375</v>
      </c>
      <c r="F42" s="8">
        <f t="shared" si="12"/>
        <v>19602.1875</v>
      </c>
      <c r="G42" s="8">
        <f t="shared" si="12"/>
        <v>20907.355218749999</v>
      </c>
      <c r="H42" s="55">
        <f t="shared" si="12"/>
        <v>22295.349486571879</v>
      </c>
    </row>
    <row r="43" spans="2:8" s="90" customFormat="1" ht="13.5" thickBot="1" x14ac:dyDescent="0.35">
      <c r="B43" s="89"/>
      <c r="C43" s="89"/>
      <c r="D43" s="89"/>
      <c r="E43" s="89"/>
      <c r="F43" s="89"/>
      <c r="G43" s="89"/>
      <c r="H43" s="89"/>
    </row>
    <row r="44" spans="2:8" x14ac:dyDescent="0.3">
      <c r="B44" s="15" t="s">
        <v>22</v>
      </c>
      <c r="C44" s="25" t="s">
        <v>82</v>
      </c>
      <c r="D44" s="25" t="s">
        <v>83</v>
      </c>
      <c r="E44" s="25" t="s">
        <v>84</v>
      </c>
      <c r="F44" s="25" t="s">
        <v>85</v>
      </c>
      <c r="G44" s="105" t="s">
        <v>86</v>
      </c>
      <c r="H44" s="35" t="s">
        <v>89</v>
      </c>
    </row>
    <row r="45" spans="2:8" x14ac:dyDescent="0.3">
      <c r="B45" s="11" t="s">
        <v>91</v>
      </c>
      <c r="C45" s="4">
        <f>C42</f>
        <v>-20000</v>
      </c>
      <c r="D45" s="4">
        <f t="shared" ref="D45:H45" si="13">D42</f>
        <v>13500</v>
      </c>
      <c r="E45" s="4">
        <f t="shared" si="13"/>
        <v>18375</v>
      </c>
      <c r="F45" s="4">
        <f t="shared" si="13"/>
        <v>19602.1875</v>
      </c>
      <c r="G45" s="4">
        <f t="shared" si="13"/>
        <v>20907.355218749999</v>
      </c>
      <c r="H45" s="62">
        <f t="shared" si="13"/>
        <v>22295.349486571879</v>
      </c>
    </row>
    <row r="46" spans="2:8" ht="13.5" thickBot="1" x14ac:dyDescent="0.35">
      <c r="B46" s="80" t="s">
        <v>90</v>
      </c>
      <c r="C46" s="78">
        <f>C45+NPV($H$27,D45:H45)</f>
        <v>54355.819716424725</v>
      </c>
      <c r="D46" s="10"/>
      <c r="E46" s="78"/>
      <c r="F46" s="10"/>
      <c r="G46" s="100"/>
      <c r="H46" s="39"/>
    </row>
  </sheetData>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69A7-B7D8-4CE4-93D7-F1D110721EE5}">
  <dimension ref="C1:J78"/>
  <sheetViews>
    <sheetView zoomScale="90" zoomScaleNormal="90" workbookViewId="0"/>
  </sheetViews>
  <sheetFormatPr defaultRowHeight="14.5" x14ac:dyDescent="0.35"/>
  <cols>
    <col min="1" max="1" width="3.36328125" customWidth="1"/>
    <col min="2" max="2" width="4.6328125" customWidth="1"/>
    <col min="3" max="3" width="61.81640625" style="14" customWidth="1"/>
    <col min="4" max="4" width="19" style="3" customWidth="1"/>
    <col min="5" max="6" width="18.54296875" style="3" customWidth="1"/>
    <col min="7" max="7" width="16.6328125" customWidth="1"/>
    <col min="9" max="9" width="12.81640625" customWidth="1"/>
  </cols>
  <sheetData>
    <row r="1" spans="3:7" ht="23" x14ac:dyDescent="0.35">
      <c r="C1" s="13" t="s">
        <v>54</v>
      </c>
    </row>
    <row r="2" spans="3:7" ht="20" x14ac:dyDescent="0.35">
      <c r="C2" s="69" t="s">
        <v>53</v>
      </c>
    </row>
    <row r="3" spans="3:7" ht="18" x14ac:dyDescent="0.35">
      <c r="C3" s="70" t="s">
        <v>64</v>
      </c>
    </row>
    <row r="4" spans="3:7" ht="15.5" x14ac:dyDescent="0.35">
      <c r="C4" s="72" t="s">
        <v>52</v>
      </c>
    </row>
    <row r="5" spans="3:7" ht="15" thickBot="1" x14ac:dyDescent="0.4"/>
    <row r="6" spans="3:7" x14ac:dyDescent="0.35">
      <c r="C6" s="15" t="s">
        <v>21</v>
      </c>
      <c r="D6" s="25" t="s">
        <v>19</v>
      </c>
      <c r="E6" s="25" t="s">
        <v>20</v>
      </c>
      <c r="F6" s="25" t="s">
        <v>26</v>
      </c>
      <c r="G6" s="35" t="s">
        <v>27</v>
      </c>
    </row>
    <row r="7" spans="3:7" ht="19" customHeight="1" x14ac:dyDescent="0.35">
      <c r="C7" s="16"/>
      <c r="D7" s="14"/>
      <c r="E7" s="14"/>
      <c r="F7" s="14"/>
      <c r="G7" s="36"/>
    </row>
    <row r="8" spans="3:7" ht="19" customHeight="1" x14ac:dyDescent="0.35">
      <c r="C8" s="17" t="s">
        <v>33</v>
      </c>
      <c r="D8" s="26"/>
      <c r="E8" s="26"/>
      <c r="F8" s="26"/>
      <c r="G8" s="37"/>
    </row>
    <row r="9" spans="3:7" ht="19" customHeight="1" x14ac:dyDescent="0.35">
      <c r="C9" s="16" t="s">
        <v>34</v>
      </c>
      <c r="D9" s="42">
        <v>3700000</v>
      </c>
      <c r="E9" s="42">
        <v>4000000</v>
      </c>
      <c r="F9" s="66">
        <f>E9*(1+F$37)</f>
        <v>4120000</v>
      </c>
      <c r="G9" s="68">
        <f>F9*(1+G$37)</f>
        <v>4243600</v>
      </c>
    </row>
    <row r="10" spans="3:7" ht="19" customHeight="1" x14ac:dyDescent="0.35">
      <c r="C10" s="17" t="s">
        <v>1</v>
      </c>
      <c r="D10" s="43"/>
      <c r="E10" s="43"/>
      <c r="F10" s="43"/>
      <c r="G10" s="37"/>
    </row>
    <row r="11" spans="3:7" ht="19" customHeight="1" x14ac:dyDescent="0.35">
      <c r="C11" s="73" t="s">
        <v>3</v>
      </c>
      <c r="D11" s="44"/>
      <c r="E11" s="44"/>
      <c r="F11" s="44"/>
      <c r="G11" s="36"/>
    </row>
    <row r="12" spans="3:7" ht="19" customHeight="1" x14ac:dyDescent="0.35">
      <c r="C12" s="18" t="s">
        <v>36</v>
      </c>
      <c r="D12" s="42">
        <v>70</v>
      </c>
      <c r="E12" s="42">
        <v>80</v>
      </c>
      <c r="F12" s="32">
        <f t="shared" ref="F12:G18" si="0">E12*(1+F$37)</f>
        <v>82.4</v>
      </c>
      <c r="G12" s="56">
        <f t="shared" si="0"/>
        <v>84.872000000000014</v>
      </c>
    </row>
    <row r="13" spans="3:7" ht="19" customHeight="1" x14ac:dyDescent="0.35">
      <c r="C13" s="18" t="s">
        <v>37</v>
      </c>
      <c r="D13" s="45">
        <v>20000</v>
      </c>
      <c r="E13" s="45">
        <v>20000</v>
      </c>
      <c r="F13" s="32">
        <f t="shared" si="0"/>
        <v>20600</v>
      </c>
      <c r="G13" s="56">
        <f t="shared" si="0"/>
        <v>21218</v>
      </c>
    </row>
    <row r="14" spans="3:7" ht="19" customHeight="1" x14ac:dyDescent="0.35">
      <c r="C14" s="18" t="s">
        <v>38</v>
      </c>
      <c r="D14" s="42">
        <v>50000</v>
      </c>
      <c r="E14" s="42">
        <v>65000</v>
      </c>
      <c r="F14" s="66">
        <f t="shared" si="0"/>
        <v>66950</v>
      </c>
      <c r="G14" s="68">
        <f t="shared" si="0"/>
        <v>68958.5</v>
      </c>
    </row>
    <row r="15" spans="3:7" ht="19" customHeight="1" x14ac:dyDescent="0.35">
      <c r="C15" s="18" t="s">
        <v>17</v>
      </c>
      <c r="D15" s="42">
        <v>200000</v>
      </c>
      <c r="E15" s="42">
        <v>250000</v>
      </c>
      <c r="F15" s="66">
        <f t="shared" si="0"/>
        <v>257500</v>
      </c>
      <c r="G15" s="68">
        <f t="shared" si="0"/>
        <v>265225</v>
      </c>
    </row>
    <row r="16" spans="3:7" ht="19" customHeight="1" x14ac:dyDescent="0.35">
      <c r="C16" s="18" t="s">
        <v>39</v>
      </c>
      <c r="D16" s="42">
        <v>30000</v>
      </c>
      <c r="E16" s="42">
        <v>35000</v>
      </c>
      <c r="F16" s="66">
        <f t="shared" si="0"/>
        <v>36050</v>
      </c>
      <c r="G16" s="68">
        <f t="shared" si="0"/>
        <v>37131.5</v>
      </c>
    </row>
    <row r="17" spans="3:7" ht="19" customHeight="1" x14ac:dyDescent="0.35">
      <c r="C17" s="18" t="s">
        <v>40</v>
      </c>
      <c r="D17" s="42">
        <v>15000</v>
      </c>
      <c r="E17" s="42">
        <v>20000</v>
      </c>
      <c r="F17" s="66">
        <f t="shared" si="0"/>
        <v>20600</v>
      </c>
      <c r="G17" s="68">
        <f t="shared" si="0"/>
        <v>21218</v>
      </c>
    </row>
    <row r="18" spans="3:7" ht="19" customHeight="1" x14ac:dyDescent="0.35">
      <c r="C18" s="18" t="s">
        <v>32</v>
      </c>
      <c r="D18" s="42">
        <v>10000</v>
      </c>
      <c r="E18" s="42">
        <v>12000</v>
      </c>
      <c r="F18" s="66">
        <f t="shared" si="0"/>
        <v>12360</v>
      </c>
      <c r="G18" s="68">
        <f t="shared" si="0"/>
        <v>12730.800000000001</v>
      </c>
    </row>
    <row r="19" spans="3:7" ht="19" customHeight="1" x14ac:dyDescent="0.35">
      <c r="C19" s="73" t="s">
        <v>2</v>
      </c>
      <c r="D19" s="44"/>
      <c r="E19" s="44"/>
      <c r="F19" s="44"/>
      <c r="G19" s="36"/>
    </row>
    <row r="20" spans="3:7" ht="19" customHeight="1" x14ac:dyDescent="0.35">
      <c r="C20" s="16" t="s">
        <v>50</v>
      </c>
      <c r="D20" s="47">
        <v>200000</v>
      </c>
      <c r="E20" s="47">
        <v>200000</v>
      </c>
      <c r="F20" s="66">
        <f>E20*(1+F$37)</f>
        <v>206000</v>
      </c>
      <c r="G20" s="68">
        <f>F20*(1+G$37)</f>
        <v>212180</v>
      </c>
    </row>
    <row r="21" spans="3:7" ht="19" customHeight="1" x14ac:dyDescent="0.35">
      <c r="C21" s="16" t="s">
        <v>51</v>
      </c>
      <c r="D21" s="46">
        <v>90</v>
      </c>
      <c r="E21" s="46">
        <v>100</v>
      </c>
      <c r="F21" s="67">
        <f>E21*(1+F$37)</f>
        <v>103</v>
      </c>
      <c r="G21" s="59">
        <f>F21*(1+G$37)</f>
        <v>106.09</v>
      </c>
    </row>
    <row r="22" spans="3:7" ht="19" customHeight="1" x14ac:dyDescent="0.35">
      <c r="C22" s="19"/>
      <c r="D22" s="44"/>
      <c r="E22" s="44"/>
      <c r="F22" s="44"/>
      <c r="G22" s="36"/>
    </row>
    <row r="23" spans="3:7" ht="16.5" customHeight="1" x14ac:dyDescent="0.35">
      <c r="C23" s="17" t="s">
        <v>4</v>
      </c>
      <c r="D23" s="43"/>
      <c r="E23" s="43"/>
      <c r="F23" s="43"/>
      <c r="G23" s="37"/>
    </row>
    <row r="24" spans="3:7" ht="16.5" customHeight="1" x14ac:dyDescent="0.35">
      <c r="C24" s="18" t="s">
        <v>23</v>
      </c>
      <c r="D24" s="48">
        <v>85</v>
      </c>
      <c r="E24" s="48">
        <v>74</v>
      </c>
      <c r="F24" s="9">
        <f t="shared" ref="F24:G26" si="1">E24*(1+F$37)</f>
        <v>76.22</v>
      </c>
      <c r="G24" s="59">
        <f t="shared" si="1"/>
        <v>78.506600000000006</v>
      </c>
    </row>
    <row r="25" spans="3:7" ht="16.5" customHeight="1" x14ac:dyDescent="0.35">
      <c r="C25" s="18" t="s">
        <v>24</v>
      </c>
      <c r="D25" s="49">
        <v>3000000</v>
      </c>
      <c r="E25" s="49">
        <v>4000000</v>
      </c>
      <c r="F25" s="66">
        <f t="shared" si="1"/>
        <v>4120000</v>
      </c>
      <c r="G25" s="68">
        <f t="shared" si="1"/>
        <v>4243600</v>
      </c>
    </row>
    <row r="26" spans="3:7" ht="16.5" customHeight="1" x14ac:dyDescent="0.35">
      <c r="C26" s="18" t="s">
        <v>5</v>
      </c>
      <c r="D26" s="48">
        <v>3</v>
      </c>
      <c r="E26" s="48">
        <v>5</v>
      </c>
      <c r="F26" s="9">
        <f t="shared" si="1"/>
        <v>5.15</v>
      </c>
      <c r="G26" s="59">
        <f t="shared" si="1"/>
        <v>5.3045000000000009</v>
      </c>
    </row>
    <row r="27" spans="3:7" x14ac:dyDescent="0.35">
      <c r="C27" s="18"/>
      <c r="D27" s="48"/>
      <c r="E27" s="48"/>
      <c r="F27" s="48"/>
      <c r="G27" s="38"/>
    </row>
    <row r="28" spans="3:7" x14ac:dyDescent="0.35">
      <c r="C28" s="17" t="s">
        <v>7</v>
      </c>
      <c r="D28" s="43"/>
      <c r="E28" s="43"/>
      <c r="F28" s="43"/>
      <c r="G28" s="37"/>
    </row>
    <row r="29" spans="3:7" x14ac:dyDescent="0.35">
      <c r="C29" s="16" t="s">
        <v>47</v>
      </c>
      <c r="D29" s="50">
        <v>0.65</v>
      </c>
      <c r="E29" s="50">
        <v>0.67</v>
      </c>
      <c r="F29" s="74">
        <f t="shared" ref="F29:G29" si="2">E29*(1+F$37)</f>
        <v>0.69010000000000005</v>
      </c>
      <c r="G29" s="77">
        <f t="shared" si="2"/>
        <v>0.71080300000000007</v>
      </c>
    </row>
    <row r="30" spans="3:7" x14ac:dyDescent="0.35">
      <c r="C30" s="19"/>
      <c r="D30" s="44"/>
      <c r="E30" s="44"/>
      <c r="F30" s="44"/>
      <c r="G30" s="36"/>
    </row>
    <row r="31" spans="3:7" x14ac:dyDescent="0.35">
      <c r="C31" s="17" t="s">
        <v>41</v>
      </c>
      <c r="D31" s="43"/>
      <c r="E31" s="43"/>
      <c r="F31" s="43"/>
      <c r="G31" s="37"/>
    </row>
    <row r="32" spans="3:7" ht="20.5" customHeight="1" x14ac:dyDescent="0.35">
      <c r="C32" s="18" t="s">
        <v>49</v>
      </c>
      <c r="D32" s="49">
        <v>85</v>
      </c>
      <c r="E32" s="49">
        <v>90</v>
      </c>
      <c r="F32" s="66">
        <f t="shared" ref="F32:G32" si="3">E32*(1+F$37)</f>
        <v>92.7</v>
      </c>
      <c r="G32" s="68">
        <f t="shared" si="3"/>
        <v>95.481000000000009</v>
      </c>
    </row>
    <row r="33" spans="3:7" ht="26.5" customHeight="1" x14ac:dyDescent="0.35">
      <c r="C33" s="20" t="s">
        <v>55</v>
      </c>
      <c r="D33" s="52">
        <v>150</v>
      </c>
      <c r="E33" s="52">
        <v>200</v>
      </c>
      <c r="F33" s="9">
        <f t="shared" ref="F33:G33" si="4">E33*(1+F$37)</f>
        <v>206</v>
      </c>
      <c r="G33" s="59">
        <f t="shared" si="4"/>
        <v>212.18</v>
      </c>
    </row>
    <row r="34" spans="3:7" ht="29.5" customHeight="1" x14ac:dyDescent="0.35">
      <c r="C34" s="18" t="s">
        <v>56</v>
      </c>
      <c r="D34" s="52">
        <v>300</v>
      </c>
      <c r="E34" s="52">
        <v>400</v>
      </c>
      <c r="F34" s="9">
        <f t="shared" ref="F34:G34" si="5">E34*(1+F$37)</f>
        <v>412</v>
      </c>
      <c r="G34" s="59">
        <f t="shared" si="5"/>
        <v>424.36</v>
      </c>
    </row>
    <row r="35" spans="3:7" x14ac:dyDescent="0.35">
      <c r="C35" s="18"/>
      <c r="D35" s="46"/>
      <c r="E35" s="46"/>
      <c r="F35" s="46"/>
      <c r="G35" s="36"/>
    </row>
    <row r="36" spans="3:7" x14ac:dyDescent="0.35">
      <c r="C36" s="17" t="s">
        <v>14</v>
      </c>
      <c r="D36" s="26"/>
      <c r="E36" s="26"/>
      <c r="F36" s="26"/>
      <c r="G36" s="37"/>
    </row>
    <row r="37" spans="3:7" x14ac:dyDescent="0.35">
      <c r="C37" s="63" t="s">
        <v>35</v>
      </c>
      <c r="D37" s="27"/>
      <c r="E37" s="51"/>
      <c r="F37" s="51">
        <v>0.03</v>
      </c>
      <c r="G37" s="65">
        <v>0.03</v>
      </c>
    </row>
    <row r="38" spans="3:7" ht="15" thickBot="1" x14ac:dyDescent="0.4">
      <c r="C38" s="21" t="s">
        <v>15</v>
      </c>
      <c r="D38" s="28"/>
      <c r="E38" s="53"/>
      <c r="F38" s="53">
        <v>0.08</v>
      </c>
      <c r="G38" s="64">
        <v>0.08</v>
      </c>
    </row>
    <row r="39" spans="3:7" s="2" customFormat="1" x14ac:dyDescent="0.35">
      <c r="C39" s="22"/>
      <c r="D39" s="14"/>
      <c r="E39" s="14"/>
      <c r="F39" s="14"/>
    </row>
    <row r="40" spans="3:7" s="2" customFormat="1" ht="15.5" x14ac:dyDescent="0.35">
      <c r="C40" s="71" t="s">
        <v>57</v>
      </c>
      <c r="D40" s="14"/>
      <c r="E40" s="14"/>
      <c r="F40" s="14"/>
    </row>
    <row r="41" spans="3:7" s="2" customFormat="1" ht="16" thickBot="1" x14ac:dyDescent="0.4">
      <c r="C41" s="72" t="s">
        <v>58</v>
      </c>
      <c r="D41" s="14"/>
      <c r="E41" s="14"/>
      <c r="F41" s="14"/>
    </row>
    <row r="42" spans="3:7" x14ac:dyDescent="0.35">
      <c r="C42" s="15" t="s">
        <v>45</v>
      </c>
      <c r="D42" s="25" t="s">
        <v>19</v>
      </c>
      <c r="E42" s="25" t="s">
        <v>20</v>
      </c>
      <c r="F42" s="25" t="s">
        <v>26</v>
      </c>
      <c r="G42" s="35" t="s">
        <v>27</v>
      </c>
    </row>
    <row r="43" spans="3:7" x14ac:dyDescent="0.35">
      <c r="C43" s="5" t="s">
        <v>0</v>
      </c>
      <c r="D43" s="14"/>
      <c r="E43" s="14"/>
      <c r="F43" s="14"/>
      <c r="G43" s="36"/>
    </row>
    <row r="44" spans="3:7" x14ac:dyDescent="0.35">
      <c r="C44" s="75" t="str">
        <f>C9</f>
        <v>Resale Program Revenue</v>
      </c>
      <c r="D44" s="6">
        <f>D9</f>
        <v>3700000</v>
      </c>
      <c r="E44" s="6">
        <f>E9</f>
        <v>4000000</v>
      </c>
      <c r="F44" s="6">
        <f>F9</f>
        <v>4120000</v>
      </c>
      <c r="G44" s="54">
        <f>G9</f>
        <v>4243600</v>
      </c>
    </row>
    <row r="45" spans="3:7" x14ac:dyDescent="0.35">
      <c r="C45" s="24" t="s">
        <v>9</v>
      </c>
      <c r="D45" s="6">
        <f>SUM(D44:D44)</f>
        <v>3700000</v>
      </c>
      <c r="E45" s="6">
        <f>SUM(E44:E44)</f>
        <v>4000000</v>
      </c>
      <c r="F45" s="6">
        <f>SUM(F44:F44)</f>
        <v>4120000</v>
      </c>
      <c r="G45" s="54">
        <f>SUM(G44:G44)</f>
        <v>4243600</v>
      </c>
    </row>
    <row r="46" spans="3:7" x14ac:dyDescent="0.35">
      <c r="C46" s="5" t="s">
        <v>1</v>
      </c>
      <c r="D46" s="6"/>
      <c r="E46" s="6"/>
      <c r="F46" s="6"/>
      <c r="G46" s="36"/>
    </row>
    <row r="47" spans="3:7" x14ac:dyDescent="0.35">
      <c r="C47" s="75" t="s">
        <v>43</v>
      </c>
      <c r="D47" s="6">
        <f>D12*D13</f>
        <v>1400000</v>
      </c>
      <c r="E47" s="6">
        <f>E12*E13</f>
        <v>1600000</v>
      </c>
      <c r="F47" s="6">
        <f>F12*F13</f>
        <v>1697440.0000000002</v>
      </c>
      <c r="G47" s="54">
        <f>G12*G13</f>
        <v>1800814.0960000004</v>
      </c>
    </row>
    <row r="48" spans="3:7" x14ac:dyDescent="0.35">
      <c r="C48" s="75" t="s">
        <v>8</v>
      </c>
      <c r="D48" s="6">
        <f>SUM(D14:D15)</f>
        <v>250000</v>
      </c>
      <c r="E48" s="6">
        <f>SUM(E14:E15)</f>
        <v>315000</v>
      </c>
      <c r="F48" s="6">
        <f>SUM(F14:F15)</f>
        <v>324450</v>
      </c>
      <c r="G48" s="54">
        <f>SUM(G14:G15)</f>
        <v>334183.5</v>
      </c>
    </row>
    <row r="49" spans="3:7" x14ac:dyDescent="0.35">
      <c r="C49" s="76" t="s">
        <v>44</v>
      </c>
      <c r="D49" s="6">
        <f>SUM(D16:D17)</f>
        <v>45000</v>
      </c>
      <c r="E49" s="6">
        <f t="shared" ref="E49:G49" si="6">SUM(E16:E17)</f>
        <v>55000</v>
      </c>
      <c r="F49" s="6">
        <f t="shared" si="6"/>
        <v>56650</v>
      </c>
      <c r="G49" s="54">
        <f t="shared" si="6"/>
        <v>58349.5</v>
      </c>
    </row>
    <row r="50" spans="3:7" x14ac:dyDescent="0.35">
      <c r="C50" s="76" t="s">
        <v>11</v>
      </c>
      <c r="D50" s="6">
        <f>SUM(D18:D18)</f>
        <v>10000</v>
      </c>
      <c r="E50" s="6">
        <f>SUM(E18:E18)</f>
        <v>12000</v>
      </c>
      <c r="F50" s="6">
        <f>SUM(F18:F18)</f>
        <v>12360</v>
      </c>
      <c r="G50" s="54">
        <f>SUM(G18:G18)</f>
        <v>12730.800000000001</v>
      </c>
    </row>
    <row r="51" spans="3:7" x14ac:dyDescent="0.35">
      <c r="C51" s="24" t="s">
        <v>10</v>
      </c>
      <c r="D51" s="6">
        <f>SUM(D47:D50)</f>
        <v>1705000</v>
      </c>
      <c r="E51" s="6">
        <f>SUM(E47:E50)</f>
        <v>1982000</v>
      </c>
      <c r="F51" s="6">
        <f t="shared" ref="F51:G51" si="7">SUM(F47:F50)</f>
        <v>2090900.0000000002</v>
      </c>
      <c r="G51" s="54">
        <f t="shared" si="7"/>
        <v>2206077.8960000002</v>
      </c>
    </row>
    <row r="52" spans="3:7" ht="15" thickBot="1" x14ac:dyDescent="0.4">
      <c r="C52" s="7" t="s">
        <v>42</v>
      </c>
      <c r="D52" s="8">
        <f>D45-D51</f>
        <v>1995000</v>
      </c>
      <c r="E52" s="8">
        <f>E45-E51</f>
        <v>2018000</v>
      </c>
      <c r="F52" s="8">
        <f t="shared" ref="F52:G52" si="8">F45-F51</f>
        <v>2029099.9999999998</v>
      </c>
      <c r="G52" s="55">
        <f t="shared" si="8"/>
        <v>2037522.1039999998</v>
      </c>
    </row>
    <row r="53" spans="3:7" s="2" customFormat="1" x14ac:dyDescent="0.35">
      <c r="C53" s="14"/>
      <c r="D53" s="14"/>
      <c r="E53" s="14"/>
      <c r="F53" s="14"/>
      <c r="G53" s="14"/>
    </row>
    <row r="54" spans="3:7" s="2" customFormat="1" ht="15.5" x14ac:dyDescent="0.35">
      <c r="C54" s="71" t="s">
        <v>59</v>
      </c>
      <c r="D54" s="14"/>
      <c r="E54" s="14"/>
      <c r="F54" s="14"/>
      <c r="G54" s="14"/>
    </row>
    <row r="55" spans="3:7" s="2" customFormat="1" ht="16" thickBot="1" x14ac:dyDescent="0.4">
      <c r="C55" s="72" t="s">
        <v>60</v>
      </c>
      <c r="D55" s="14"/>
      <c r="E55" s="14"/>
      <c r="F55" s="14"/>
      <c r="G55" s="14"/>
    </row>
    <row r="56" spans="3:7" ht="26" x14ac:dyDescent="0.35">
      <c r="C56" s="40" t="s">
        <v>46</v>
      </c>
      <c r="D56" s="25" t="s">
        <v>19</v>
      </c>
      <c r="E56" s="25" t="s">
        <v>20</v>
      </c>
      <c r="F56" s="25" t="s">
        <v>26</v>
      </c>
      <c r="G56" s="41" t="s">
        <v>27</v>
      </c>
    </row>
    <row r="57" spans="3:7" ht="25" x14ac:dyDescent="0.35">
      <c r="C57" s="18" t="s">
        <v>61</v>
      </c>
      <c r="D57" s="32">
        <f>D34</f>
        <v>300</v>
      </c>
      <c r="E57" s="32">
        <f>E34</f>
        <v>400</v>
      </c>
      <c r="F57" s="32">
        <f>F34</f>
        <v>412</v>
      </c>
      <c r="G57" s="56">
        <f>G34</f>
        <v>424.36</v>
      </c>
    </row>
    <row r="58" spans="3:7" x14ac:dyDescent="0.35">
      <c r="C58" s="18" t="s">
        <v>47</v>
      </c>
      <c r="D58" s="29">
        <f>D29</f>
        <v>0.65</v>
      </c>
      <c r="E58" s="29">
        <f>E29</f>
        <v>0.67</v>
      </c>
      <c r="F58" s="29">
        <f>F29</f>
        <v>0.69010000000000005</v>
      </c>
      <c r="G58" s="57">
        <f>G29</f>
        <v>0.71080300000000007</v>
      </c>
    </row>
    <row r="59" spans="3:7" x14ac:dyDescent="0.35">
      <c r="C59" s="18" t="s">
        <v>49</v>
      </c>
      <c r="D59" s="30">
        <f>D32</f>
        <v>85</v>
      </c>
      <c r="E59" s="30">
        <f>E32</f>
        <v>90</v>
      </c>
      <c r="F59" s="30">
        <f>F32</f>
        <v>92.7</v>
      </c>
      <c r="G59" s="58">
        <f>G32</f>
        <v>95.481000000000009</v>
      </c>
    </row>
    <row r="60" spans="3:7" ht="26.5" thickBot="1" x14ac:dyDescent="0.4">
      <c r="C60" s="7" t="s">
        <v>48</v>
      </c>
      <c r="D60" s="8">
        <f>D57*D59*D58</f>
        <v>16575</v>
      </c>
      <c r="E60" s="8">
        <f>E57*E59*E58</f>
        <v>24120</v>
      </c>
      <c r="F60" s="8">
        <f>F57*F59*F58</f>
        <v>26356.575240000002</v>
      </c>
      <c r="G60" s="55">
        <f>G57*G59*G58</f>
        <v>28800.541392279487</v>
      </c>
    </row>
    <row r="61" spans="3:7" s="2" customFormat="1" x14ac:dyDescent="0.35">
      <c r="C61" s="14"/>
      <c r="D61" s="14"/>
      <c r="E61" s="14"/>
      <c r="F61" s="14"/>
    </row>
    <row r="62" spans="3:7" s="2" customFormat="1" ht="15.5" x14ac:dyDescent="0.35">
      <c r="C62" s="71" t="s">
        <v>59</v>
      </c>
      <c r="D62" s="14"/>
      <c r="E62" s="14"/>
      <c r="F62" s="14"/>
    </row>
    <row r="63" spans="3:7" s="2" customFormat="1" ht="16" thickBot="1" x14ac:dyDescent="0.4">
      <c r="C63" s="72" t="s">
        <v>62</v>
      </c>
      <c r="D63" s="14"/>
      <c r="E63" s="14"/>
      <c r="F63" s="14"/>
    </row>
    <row r="64" spans="3:7" ht="26" x14ac:dyDescent="0.35">
      <c r="C64" s="40" t="s">
        <v>28</v>
      </c>
      <c r="D64" s="25" t="s">
        <v>19</v>
      </c>
      <c r="E64" s="25" t="s">
        <v>20</v>
      </c>
      <c r="F64" s="25" t="s">
        <v>26</v>
      </c>
      <c r="G64" s="35" t="s">
        <v>27</v>
      </c>
    </row>
    <row r="65" spans="3:10" x14ac:dyDescent="0.35">
      <c r="C65" s="20" t="s">
        <v>16</v>
      </c>
      <c r="D65" s="6">
        <f>D20/D21</f>
        <v>2222.2222222222222</v>
      </c>
      <c r="E65" s="6">
        <f>E20/E21</f>
        <v>2000</v>
      </c>
      <c r="F65" s="6">
        <f>F20/F21</f>
        <v>2000</v>
      </c>
      <c r="G65" s="54">
        <f>G20/G21</f>
        <v>2000</v>
      </c>
    </row>
    <row r="66" spans="3:10" ht="25.5" customHeight="1" x14ac:dyDescent="0.35">
      <c r="C66" s="20" t="s">
        <v>30</v>
      </c>
      <c r="D66" s="9">
        <f>D33</f>
        <v>150</v>
      </c>
      <c r="E66" s="32">
        <f>E33</f>
        <v>200</v>
      </c>
      <c r="F66" s="32">
        <f>F33</f>
        <v>206</v>
      </c>
      <c r="G66" s="56">
        <f>G33</f>
        <v>212.18</v>
      </c>
    </row>
    <row r="67" spans="3:10" ht="15" thickBot="1" x14ac:dyDescent="0.4">
      <c r="C67" s="7" t="s">
        <v>18</v>
      </c>
      <c r="D67" s="8">
        <f>D65*D66</f>
        <v>333333.33333333331</v>
      </c>
      <c r="E67" s="8">
        <f>E65*E66</f>
        <v>400000</v>
      </c>
      <c r="F67" s="8">
        <f t="shared" ref="F67:G67" si="9">F65*F66</f>
        <v>412000</v>
      </c>
      <c r="G67" s="55">
        <f t="shared" si="9"/>
        <v>424360</v>
      </c>
    </row>
    <row r="68" spans="3:10" s="2" customFormat="1" x14ac:dyDescent="0.35">
      <c r="C68" s="14"/>
      <c r="D68" s="14"/>
      <c r="E68" s="14"/>
      <c r="F68" s="14"/>
    </row>
    <row r="69" spans="3:10" s="2" customFormat="1" ht="15.5" x14ac:dyDescent="0.35">
      <c r="C69" s="71" t="s">
        <v>59</v>
      </c>
      <c r="D69" s="14"/>
      <c r="E69" s="14"/>
      <c r="F69" s="14"/>
    </row>
    <row r="70" spans="3:10" s="2" customFormat="1" ht="16" thickBot="1" x14ac:dyDescent="0.4">
      <c r="C70" s="72" t="s">
        <v>63</v>
      </c>
      <c r="D70" s="14"/>
      <c r="E70" s="14"/>
      <c r="F70" s="14"/>
    </row>
    <row r="71" spans="3:10" x14ac:dyDescent="0.35">
      <c r="C71" s="15" t="s">
        <v>29</v>
      </c>
      <c r="D71" s="25" t="s">
        <v>19</v>
      </c>
      <c r="E71" s="25" t="s">
        <v>20</v>
      </c>
      <c r="F71" s="25" t="s">
        <v>26</v>
      </c>
      <c r="G71" s="35" t="s">
        <v>27</v>
      </c>
    </row>
    <row r="72" spans="3:10" x14ac:dyDescent="0.35">
      <c r="C72" s="23" t="s">
        <v>5</v>
      </c>
      <c r="D72" s="9">
        <f>D26</f>
        <v>3</v>
      </c>
      <c r="E72" s="9">
        <f>E26</f>
        <v>5</v>
      </c>
      <c r="F72" s="9">
        <f>F26</f>
        <v>5.15</v>
      </c>
      <c r="G72" s="59">
        <f>G26</f>
        <v>5.3045000000000009</v>
      </c>
    </row>
    <row r="73" spans="3:10" x14ac:dyDescent="0.35">
      <c r="C73" s="23" t="s">
        <v>6</v>
      </c>
      <c r="D73" s="31">
        <f>D25/D24</f>
        <v>35294.117647058825</v>
      </c>
      <c r="E73" s="31">
        <f>E25/E24</f>
        <v>54054.054054054053</v>
      </c>
      <c r="F73" s="31">
        <f t="shared" ref="F73:G73" si="10">F25/F24</f>
        <v>54054.054054054053</v>
      </c>
      <c r="G73" s="60">
        <f t="shared" si="10"/>
        <v>54054.054054054053</v>
      </c>
    </row>
    <row r="74" spans="3:10" ht="16" customHeight="1" thickBot="1" x14ac:dyDescent="0.4">
      <c r="C74" s="7" t="s">
        <v>12</v>
      </c>
      <c r="D74" s="10">
        <f>D72*D73</f>
        <v>105882.35294117648</v>
      </c>
      <c r="E74" s="10">
        <f>E72*E73</f>
        <v>270270.2702702703</v>
      </c>
      <c r="F74" s="10">
        <f t="shared" ref="F74:G74" si="11">F72*F73</f>
        <v>278378.3783783784</v>
      </c>
      <c r="G74" s="61">
        <f t="shared" si="11"/>
        <v>286729.72972972976</v>
      </c>
      <c r="I74" s="1"/>
      <c r="J74" s="12"/>
    </row>
    <row r="75" spans="3:10" s="2" customFormat="1" ht="15" thickBot="1" x14ac:dyDescent="0.4">
      <c r="C75" s="14"/>
      <c r="D75" s="14"/>
      <c r="E75" s="14"/>
      <c r="F75" s="14"/>
    </row>
    <row r="76" spans="3:10" x14ac:dyDescent="0.35">
      <c r="C76" s="15" t="s">
        <v>22</v>
      </c>
      <c r="D76" s="25" t="s">
        <v>19</v>
      </c>
      <c r="E76" s="25" t="s">
        <v>20</v>
      </c>
      <c r="F76" s="25" t="s">
        <v>26</v>
      </c>
      <c r="G76" s="35" t="s">
        <v>27</v>
      </c>
    </row>
    <row r="77" spans="3:10" x14ac:dyDescent="0.35">
      <c r="C77" s="11" t="s">
        <v>13</v>
      </c>
      <c r="D77" s="4">
        <f>D52+D60+D67+D74</f>
        <v>2450790.6862745099</v>
      </c>
      <c r="E77" s="4">
        <f>E52+E60+E67+E74</f>
        <v>2712390.2702702703</v>
      </c>
      <c r="F77" s="4">
        <f>F52+F60+F67+F74</f>
        <v>2745834.9536183779</v>
      </c>
      <c r="G77" s="62">
        <f>G52+G60+G67+G74</f>
        <v>2777412.3751220088</v>
      </c>
    </row>
    <row r="78" spans="3:10" ht="15" thickBot="1" x14ac:dyDescent="0.4">
      <c r="C78" s="7" t="s">
        <v>31</v>
      </c>
      <c r="D78" s="10"/>
      <c r="E78" s="78">
        <f>E77+NPV($F$38,F77:G77)</f>
        <v>7636013.4913178151</v>
      </c>
      <c r="F78" s="10"/>
      <c r="G78" s="39"/>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D856-4789-4F1C-B539-573D0D20E810}">
  <sheetPr>
    <tabColor rgb="FF7030A0"/>
  </sheetPr>
  <dimension ref="A1:S14"/>
  <sheetViews>
    <sheetView zoomScaleNormal="100" workbookViewId="0"/>
  </sheetViews>
  <sheetFormatPr defaultRowHeight="15.5" x14ac:dyDescent="0.35"/>
  <cols>
    <col min="1" max="16384" width="8.7265625" style="138"/>
  </cols>
  <sheetData>
    <row r="1" spans="1:19" ht="30" x14ac:dyDescent="0.6">
      <c r="A1" s="135" t="s">
        <v>211</v>
      </c>
      <c r="B1" s="136"/>
      <c r="C1" s="136"/>
      <c r="D1" s="136"/>
      <c r="E1" s="136"/>
      <c r="F1" s="136"/>
      <c r="G1" s="136"/>
      <c r="H1" s="136"/>
      <c r="I1" s="136"/>
      <c r="J1" s="136"/>
      <c r="K1" s="136"/>
      <c r="L1" s="136"/>
      <c r="M1" s="136"/>
      <c r="N1" s="136"/>
      <c r="O1" s="137"/>
      <c r="P1" s="137"/>
      <c r="Q1" s="137"/>
      <c r="R1" s="137"/>
      <c r="S1" s="137"/>
    </row>
    <row r="2" spans="1:19" ht="150" customHeight="1" x14ac:dyDescent="0.35">
      <c r="A2" s="156" t="s">
        <v>216</v>
      </c>
      <c r="B2" s="156"/>
      <c r="C2" s="156"/>
      <c r="D2" s="156"/>
      <c r="E2" s="156"/>
      <c r="F2" s="156"/>
      <c r="G2" s="156"/>
      <c r="H2" s="156"/>
      <c r="I2" s="156"/>
      <c r="J2" s="156"/>
      <c r="K2" s="156"/>
      <c r="L2" s="156"/>
      <c r="M2" s="156"/>
      <c r="N2" s="156"/>
      <c r="O2" s="137"/>
      <c r="P2" s="137"/>
      <c r="Q2" s="137"/>
      <c r="R2" s="137"/>
      <c r="S2" s="137"/>
    </row>
    <row r="3" spans="1:19" x14ac:dyDescent="0.35">
      <c r="A3" s="139"/>
      <c r="B3" s="139"/>
      <c r="C3" s="139"/>
      <c r="D3" s="139"/>
      <c r="E3" s="139"/>
      <c r="F3" s="139"/>
      <c r="G3" s="139"/>
      <c r="H3" s="139"/>
      <c r="I3" s="139"/>
      <c r="J3" s="139"/>
      <c r="K3" s="139"/>
      <c r="L3" s="139"/>
      <c r="M3" s="139"/>
      <c r="N3" s="139"/>
    </row>
    <row r="4" spans="1:19" x14ac:dyDescent="0.35">
      <c r="A4" s="139"/>
      <c r="B4" s="139"/>
      <c r="C4" s="139"/>
      <c r="D4" s="139"/>
      <c r="E4" s="139"/>
      <c r="F4" s="139"/>
      <c r="G4" s="139"/>
      <c r="H4" s="139"/>
      <c r="I4" s="139"/>
      <c r="J4" s="139"/>
      <c r="K4" s="139"/>
      <c r="L4" s="139"/>
      <c r="M4" s="139"/>
      <c r="N4" s="139"/>
    </row>
    <row r="5" spans="1:19" x14ac:dyDescent="0.35">
      <c r="A5" s="139"/>
      <c r="B5" s="139"/>
      <c r="C5" s="139"/>
      <c r="D5" s="139"/>
      <c r="E5" s="139"/>
      <c r="F5" s="139"/>
      <c r="G5" s="139"/>
      <c r="H5" s="139"/>
      <c r="I5" s="139"/>
      <c r="J5" s="139"/>
      <c r="K5" s="139"/>
      <c r="L5" s="139"/>
      <c r="M5" s="139"/>
      <c r="N5" s="139"/>
    </row>
    <row r="6" spans="1:19" x14ac:dyDescent="0.35">
      <c r="A6" s="139"/>
      <c r="B6" s="139"/>
      <c r="C6" s="139"/>
      <c r="D6" s="139"/>
      <c r="E6" s="139"/>
      <c r="F6" s="139"/>
      <c r="G6" s="139"/>
      <c r="H6" s="139"/>
      <c r="I6" s="139"/>
      <c r="J6" s="139"/>
      <c r="K6" s="139"/>
      <c r="L6" s="139"/>
      <c r="M6" s="139"/>
      <c r="N6" s="139"/>
    </row>
    <row r="7" spans="1:19" x14ac:dyDescent="0.35">
      <c r="A7" s="139"/>
      <c r="B7" s="139"/>
      <c r="C7" s="139"/>
      <c r="D7" s="139"/>
      <c r="E7" s="139"/>
      <c r="F7" s="139"/>
      <c r="G7" s="139"/>
      <c r="H7" s="139"/>
      <c r="I7" s="139"/>
      <c r="J7" s="139"/>
      <c r="K7" s="139"/>
      <c r="L7" s="139"/>
      <c r="M7" s="139"/>
      <c r="N7" s="139"/>
    </row>
    <row r="8" spans="1:19" x14ac:dyDescent="0.35">
      <c r="A8" s="139"/>
      <c r="B8" s="139"/>
      <c r="C8" s="139"/>
      <c r="D8" s="139"/>
      <c r="E8" s="139"/>
      <c r="F8" s="139"/>
      <c r="G8" s="139"/>
      <c r="H8" s="139"/>
      <c r="I8" s="139"/>
      <c r="J8" s="139"/>
      <c r="K8" s="139"/>
      <c r="L8" s="139"/>
      <c r="M8" s="139"/>
      <c r="N8" s="139"/>
    </row>
    <row r="9" spans="1:19" x14ac:dyDescent="0.35">
      <c r="A9" s="139"/>
      <c r="B9" s="139"/>
      <c r="C9" s="139"/>
      <c r="D9" s="139"/>
      <c r="E9" s="139"/>
      <c r="F9" s="139"/>
      <c r="G9" s="139"/>
      <c r="H9" s="139"/>
      <c r="I9" s="139"/>
      <c r="J9" s="139"/>
      <c r="K9" s="139"/>
      <c r="L9" s="139"/>
      <c r="M9" s="139"/>
      <c r="N9" s="139"/>
    </row>
    <row r="10" spans="1:19" ht="23" customHeight="1" x14ac:dyDescent="0.35">
      <c r="A10" s="157"/>
      <c r="B10" s="157"/>
      <c r="C10" s="157"/>
      <c r="D10" s="157"/>
      <c r="E10" s="157"/>
      <c r="F10" s="157"/>
      <c r="G10" s="157"/>
      <c r="H10" s="157"/>
      <c r="I10" s="157"/>
      <c r="J10" s="157"/>
      <c r="K10" s="157"/>
      <c r="L10" s="157"/>
      <c r="M10" s="157"/>
      <c r="N10" s="157"/>
    </row>
    <row r="11" spans="1:19" ht="23" customHeight="1" x14ac:dyDescent="0.35">
      <c r="A11" s="157"/>
      <c r="B11" s="157"/>
      <c r="C11" s="157"/>
      <c r="D11" s="157"/>
      <c r="E11" s="157"/>
      <c r="F11" s="157"/>
      <c r="G11" s="157"/>
      <c r="H11" s="157"/>
      <c r="I11" s="157"/>
      <c r="J11" s="157"/>
      <c r="K11" s="157"/>
      <c r="L11" s="157"/>
      <c r="M11" s="157"/>
      <c r="N11" s="157"/>
    </row>
    <row r="12" spans="1:19" ht="30" x14ac:dyDescent="0.6">
      <c r="A12" s="140"/>
      <c r="B12" s="136"/>
      <c r="C12" s="136"/>
      <c r="D12" s="136"/>
      <c r="E12" s="136"/>
      <c r="F12" s="136"/>
      <c r="G12" s="136"/>
      <c r="H12" s="136"/>
      <c r="I12" s="136"/>
      <c r="J12" s="136"/>
      <c r="K12" s="136"/>
      <c r="L12" s="136"/>
      <c r="M12" s="136"/>
      <c r="N12" s="136"/>
      <c r="O12" s="137"/>
      <c r="P12" s="137"/>
      <c r="Q12" s="137"/>
      <c r="R12" s="137"/>
      <c r="S12" s="137"/>
    </row>
    <row r="13" spans="1:19" x14ac:dyDescent="0.35">
      <c r="A13" s="141"/>
      <c r="B13" s="136"/>
      <c r="C13" s="136"/>
      <c r="D13" s="136"/>
      <c r="E13" s="136"/>
      <c r="F13" s="136"/>
      <c r="G13" s="136"/>
      <c r="H13" s="136"/>
      <c r="I13" s="136"/>
      <c r="J13" s="136"/>
      <c r="K13" s="136"/>
      <c r="L13" s="136"/>
      <c r="M13" s="136"/>
      <c r="N13" s="136"/>
      <c r="O13" s="137"/>
      <c r="P13" s="137"/>
      <c r="Q13" s="137"/>
      <c r="R13" s="137"/>
      <c r="S13" s="137"/>
    </row>
    <row r="14" spans="1:19" ht="369" customHeight="1" x14ac:dyDescent="0.35">
      <c r="A14" s="142"/>
      <c r="B14" s="142"/>
      <c r="C14" s="142"/>
      <c r="D14" s="142"/>
      <c r="E14" s="142"/>
      <c r="F14" s="142"/>
      <c r="G14" s="142"/>
      <c r="H14" s="142"/>
      <c r="I14" s="142"/>
      <c r="J14" s="142"/>
      <c r="K14" s="142"/>
      <c r="L14" s="142"/>
      <c r="M14" s="142"/>
      <c r="N14" s="142"/>
      <c r="O14" s="143"/>
      <c r="P14" s="143"/>
      <c r="Q14" s="143"/>
      <c r="R14" s="143"/>
      <c r="S14" s="143"/>
    </row>
  </sheetData>
  <mergeCells count="2">
    <mergeCell ref="A2:N2"/>
    <mergeCell ref="A10:N11"/>
  </mergeCells>
  <hyperlinks>
    <hyperlink ref="A1" r:id="rId1" xr:uid="{D5A5E659-16BD-4940-B870-BAC657896FC6}"/>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189C-A677-47AC-A8E1-9C874AC09124}">
  <sheetPr>
    <tabColor theme="9" tint="-0.249977111117893"/>
  </sheetPr>
  <dimension ref="B1:H49"/>
  <sheetViews>
    <sheetView showGridLines="0" zoomScaleNormal="100" workbookViewId="0"/>
  </sheetViews>
  <sheetFormatPr defaultRowHeight="13" x14ac:dyDescent="0.3"/>
  <cols>
    <col min="1" max="1" width="3.36328125" style="87" customWidth="1"/>
    <col min="2" max="2" width="69.6328125" style="89" customWidth="1"/>
    <col min="3" max="3" width="22.81640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85" t="s">
        <v>80</v>
      </c>
      <c r="C2" s="85"/>
    </row>
    <row r="3" spans="2:8" x14ac:dyDescent="0.3">
      <c r="B3" s="88" t="s">
        <v>52</v>
      </c>
      <c r="C3" s="88"/>
    </row>
    <row r="4" spans="2:8" x14ac:dyDescent="0.3">
      <c r="B4" s="81" t="s">
        <v>73</v>
      </c>
      <c r="C4" s="81"/>
    </row>
    <row r="6" spans="2:8" s="90" customFormat="1" x14ac:dyDescent="0.3">
      <c r="B6" s="85" t="s">
        <v>57</v>
      </c>
      <c r="C6" s="85"/>
      <c r="D6" s="89"/>
      <c r="E6" s="89"/>
      <c r="F6" s="89"/>
    </row>
    <row r="7" spans="2:8" s="90" customFormat="1" x14ac:dyDescent="0.3">
      <c r="B7" s="88" t="s">
        <v>81</v>
      </c>
      <c r="C7" s="88"/>
      <c r="D7" s="89"/>
      <c r="E7" s="89"/>
      <c r="F7" s="89"/>
    </row>
    <row r="8" spans="2:8" s="90" customFormat="1" ht="13.5" thickBot="1" x14ac:dyDescent="0.35">
      <c r="B8" s="88"/>
      <c r="C8" s="88"/>
      <c r="D8" s="89"/>
      <c r="E8" s="89"/>
      <c r="F8" s="89"/>
    </row>
    <row r="9" spans="2:8" s="90" customFormat="1" x14ac:dyDescent="0.3">
      <c r="B9" s="15" t="s">
        <v>21</v>
      </c>
      <c r="C9" s="25" t="s">
        <v>82</v>
      </c>
      <c r="D9" s="25" t="s">
        <v>83</v>
      </c>
      <c r="E9" s="25" t="s">
        <v>84</v>
      </c>
      <c r="F9" s="25" t="s">
        <v>85</v>
      </c>
      <c r="G9" s="105" t="s">
        <v>86</v>
      </c>
      <c r="H9" s="35" t="s">
        <v>89</v>
      </c>
    </row>
    <row r="10" spans="2:8" s="90" customFormat="1" ht="14.5" x14ac:dyDescent="0.35">
      <c r="B10" s="16"/>
      <c r="C10" s="14"/>
      <c r="D10" s="14"/>
      <c r="E10" s="14"/>
      <c r="F10" s="14"/>
      <c r="G10" s="2"/>
      <c r="H10" s="36"/>
    </row>
    <row r="11" spans="2:8" s="90" customFormat="1" ht="14.5" x14ac:dyDescent="0.35">
      <c r="B11" s="17" t="s">
        <v>33</v>
      </c>
      <c r="C11" s="26"/>
      <c r="D11" s="26"/>
      <c r="E11" s="26"/>
      <c r="F11" s="26"/>
      <c r="G11" s="103"/>
      <c r="H11" s="37"/>
    </row>
    <row r="12" spans="2:8" s="90" customFormat="1" x14ac:dyDescent="0.3">
      <c r="B12" s="16" t="s">
        <v>34</v>
      </c>
      <c r="C12" s="42">
        <v>0</v>
      </c>
      <c r="D12" s="42">
        <v>2000000</v>
      </c>
      <c r="E12" s="42">
        <v>2500000</v>
      </c>
      <c r="F12" s="66">
        <f t="shared" ref="F12:H13" si="0">E12*(1+F$28)</f>
        <v>2575000</v>
      </c>
      <c r="G12" s="66">
        <f t="shared" si="0"/>
        <v>2652250</v>
      </c>
      <c r="H12" s="68">
        <f t="shared" si="0"/>
        <v>2731817.5</v>
      </c>
    </row>
    <row r="13" spans="2:8" s="90" customFormat="1" x14ac:dyDescent="0.3">
      <c r="B13" s="16" t="s">
        <v>136</v>
      </c>
      <c r="C13" s="42">
        <v>0</v>
      </c>
      <c r="D13" s="42">
        <v>0</v>
      </c>
      <c r="E13" s="42">
        <v>0</v>
      </c>
      <c r="F13" s="66">
        <f t="shared" si="0"/>
        <v>0</v>
      </c>
      <c r="G13" s="66">
        <f t="shared" si="0"/>
        <v>0</v>
      </c>
      <c r="H13" s="68">
        <f t="shared" si="0"/>
        <v>0</v>
      </c>
    </row>
    <row r="14" spans="2:8" s="90" customFormat="1" x14ac:dyDescent="0.3">
      <c r="B14" s="16"/>
      <c r="C14" s="42"/>
      <c r="D14" s="42"/>
      <c r="E14" s="42"/>
      <c r="F14" s="66"/>
      <c r="G14" s="66"/>
      <c r="H14" s="68"/>
    </row>
    <row r="15" spans="2:8" s="90" customFormat="1" ht="14.5" x14ac:dyDescent="0.35">
      <c r="B15" s="17" t="s">
        <v>1</v>
      </c>
      <c r="C15" s="43"/>
      <c r="D15" s="43"/>
      <c r="E15" s="43"/>
      <c r="F15" s="43"/>
      <c r="G15" s="103"/>
      <c r="H15" s="37"/>
    </row>
    <row r="16" spans="2:8" s="90" customFormat="1" ht="14.5" x14ac:dyDescent="0.35">
      <c r="B16" s="73" t="s">
        <v>87</v>
      </c>
      <c r="C16" s="46"/>
      <c r="D16" s="46"/>
      <c r="E16" s="46"/>
      <c r="F16" s="46"/>
      <c r="G16" s="104"/>
      <c r="H16" s="101"/>
    </row>
    <row r="17" spans="2:8" s="90" customFormat="1" x14ac:dyDescent="0.3">
      <c r="B17" s="18" t="s">
        <v>88</v>
      </c>
      <c r="C17" s="42">
        <v>20000</v>
      </c>
      <c r="D17" s="102">
        <v>0</v>
      </c>
      <c r="E17" s="102">
        <v>0</v>
      </c>
      <c r="F17" s="102">
        <v>0</v>
      </c>
      <c r="G17" s="102">
        <v>0</v>
      </c>
      <c r="H17" s="106">
        <v>0</v>
      </c>
    </row>
    <row r="18" spans="2:8" s="90" customFormat="1" ht="14.5" x14ac:dyDescent="0.35">
      <c r="B18" s="73" t="s">
        <v>67</v>
      </c>
      <c r="C18" s="44"/>
      <c r="D18" s="44"/>
      <c r="E18" s="44"/>
      <c r="F18" s="44"/>
      <c r="G18" s="2"/>
      <c r="H18" s="36"/>
    </row>
    <row r="19" spans="2:8" s="90" customFormat="1" x14ac:dyDescent="0.3">
      <c r="B19" s="18" t="s">
        <v>69</v>
      </c>
      <c r="C19" s="42">
        <v>0</v>
      </c>
      <c r="D19" s="42">
        <v>52000</v>
      </c>
      <c r="E19" s="42">
        <v>55000</v>
      </c>
      <c r="F19" s="66">
        <f t="shared" ref="F19:H25" si="1">E19*(1+F$28)</f>
        <v>56650</v>
      </c>
      <c r="G19" s="66">
        <f t="shared" si="1"/>
        <v>58349.5</v>
      </c>
      <c r="H19" s="68">
        <f t="shared" si="1"/>
        <v>60099.985000000001</v>
      </c>
    </row>
    <row r="20" spans="2:8" s="90" customFormat="1" x14ac:dyDescent="0.3">
      <c r="B20" s="18" t="s">
        <v>17</v>
      </c>
      <c r="C20" s="42">
        <v>0</v>
      </c>
      <c r="D20" s="42">
        <v>245000</v>
      </c>
      <c r="E20" s="42">
        <v>250000</v>
      </c>
      <c r="F20" s="66">
        <f t="shared" si="1"/>
        <v>257500</v>
      </c>
      <c r="G20" s="66">
        <f t="shared" si="1"/>
        <v>265225</v>
      </c>
      <c r="H20" s="68">
        <f t="shared" si="1"/>
        <v>273181.75</v>
      </c>
    </row>
    <row r="21" spans="2:8" s="90" customFormat="1" x14ac:dyDescent="0.3">
      <c r="B21" s="18" t="s">
        <v>68</v>
      </c>
      <c r="C21" s="42">
        <v>0</v>
      </c>
      <c r="D21" s="42">
        <v>32000</v>
      </c>
      <c r="E21" s="42">
        <v>35000</v>
      </c>
      <c r="F21" s="66">
        <f t="shared" si="1"/>
        <v>36050</v>
      </c>
      <c r="G21" s="66">
        <f t="shared" si="1"/>
        <v>37131.5</v>
      </c>
      <c r="H21" s="68">
        <f t="shared" si="1"/>
        <v>38245.445</v>
      </c>
    </row>
    <row r="22" spans="2:8" s="90" customFormat="1" x14ac:dyDescent="0.3">
      <c r="B22" s="18" t="s">
        <v>40</v>
      </c>
      <c r="C22" s="42">
        <v>0</v>
      </c>
      <c r="D22" s="42">
        <v>19000</v>
      </c>
      <c r="E22" s="42">
        <v>20000</v>
      </c>
      <c r="F22" s="66">
        <f t="shared" si="1"/>
        <v>20600</v>
      </c>
      <c r="G22" s="66">
        <f t="shared" si="1"/>
        <v>21218</v>
      </c>
      <c r="H22" s="68">
        <f t="shared" si="1"/>
        <v>21854.54</v>
      </c>
    </row>
    <row r="23" spans="2:8" s="90" customFormat="1" x14ac:dyDescent="0.3">
      <c r="B23" s="18" t="s">
        <v>32</v>
      </c>
      <c r="C23" s="42">
        <v>0</v>
      </c>
      <c r="D23" s="42">
        <v>11900</v>
      </c>
      <c r="E23" s="42">
        <v>12000</v>
      </c>
      <c r="F23" s="66">
        <f t="shared" si="1"/>
        <v>12360</v>
      </c>
      <c r="G23" s="66">
        <f t="shared" si="1"/>
        <v>12730.800000000001</v>
      </c>
      <c r="H23" s="68">
        <f t="shared" si="1"/>
        <v>13112.724000000002</v>
      </c>
    </row>
    <row r="24" spans="2:8" s="90" customFormat="1" x14ac:dyDescent="0.3">
      <c r="B24" s="18" t="s">
        <v>200</v>
      </c>
      <c r="C24" s="42">
        <v>0</v>
      </c>
      <c r="D24" s="42">
        <v>10000</v>
      </c>
      <c r="E24" s="42">
        <v>11000</v>
      </c>
      <c r="F24" s="66">
        <f t="shared" si="1"/>
        <v>11330</v>
      </c>
      <c r="G24" s="66">
        <f t="shared" si="1"/>
        <v>11669.9</v>
      </c>
      <c r="H24" s="68">
        <f t="shared" si="1"/>
        <v>12019.996999999999</v>
      </c>
    </row>
    <row r="25" spans="2:8" s="90" customFormat="1" x14ac:dyDescent="0.3">
      <c r="B25" s="18" t="s">
        <v>101</v>
      </c>
      <c r="C25" s="42">
        <v>0</v>
      </c>
      <c r="D25" s="42">
        <v>0</v>
      </c>
      <c r="E25" s="42">
        <v>0</v>
      </c>
      <c r="F25" s="66">
        <f t="shared" si="1"/>
        <v>0</v>
      </c>
      <c r="G25" s="66">
        <f t="shared" si="1"/>
        <v>0</v>
      </c>
      <c r="H25" s="68">
        <f t="shared" si="1"/>
        <v>0</v>
      </c>
    </row>
    <row r="26" spans="2:8" s="90" customFormat="1" ht="14.5" x14ac:dyDescent="0.35">
      <c r="B26" s="18"/>
      <c r="C26" s="46"/>
      <c r="D26" s="46"/>
      <c r="E26" s="46"/>
      <c r="F26" s="46"/>
      <c r="G26" s="2"/>
      <c r="H26" s="36"/>
    </row>
    <row r="27" spans="2:8" s="90" customFormat="1" ht="14.5" x14ac:dyDescent="0.35">
      <c r="B27" s="17" t="s">
        <v>66</v>
      </c>
      <c r="C27" s="26"/>
      <c r="D27" s="26"/>
      <c r="E27" s="26"/>
      <c r="F27" s="26"/>
      <c r="G27" s="103"/>
      <c r="H27" s="37"/>
    </row>
    <row r="28" spans="2:8" s="90" customFormat="1" x14ac:dyDescent="0.3">
      <c r="B28" s="63" t="s">
        <v>35</v>
      </c>
      <c r="C28" s="27"/>
      <c r="D28" s="51">
        <v>0.03</v>
      </c>
      <c r="E28" s="51">
        <v>0.03</v>
      </c>
      <c r="F28" s="51">
        <v>0.03</v>
      </c>
      <c r="G28" s="51">
        <v>0.03</v>
      </c>
      <c r="H28" s="65">
        <v>0.03</v>
      </c>
    </row>
    <row r="29" spans="2:8" s="90" customFormat="1" ht="16" customHeight="1" thickBot="1" x14ac:dyDescent="0.35">
      <c r="B29" s="21" t="s">
        <v>15</v>
      </c>
      <c r="C29" s="28"/>
      <c r="D29" s="53"/>
      <c r="E29" s="53"/>
      <c r="F29" s="53"/>
      <c r="G29" s="53"/>
      <c r="H29" s="82">
        <v>0.08</v>
      </c>
    </row>
    <row r="30" spans="2:8" s="90" customFormat="1" ht="13.5" customHeight="1" x14ac:dyDescent="0.3">
      <c r="B30" s="131" t="s">
        <v>201</v>
      </c>
      <c r="C30" s="27"/>
      <c r="D30" s="51"/>
      <c r="E30" s="51"/>
      <c r="F30" s="51"/>
      <c r="G30" s="51"/>
      <c r="H30" s="51"/>
    </row>
    <row r="31" spans="2:8" s="90" customFormat="1" ht="13.5" thickBot="1" x14ac:dyDescent="0.35">
      <c r="B31" s="88"/>
      <c r="C31" s="88"/>
      <c r="D31" s="89"/>
      <c r="E31" s="89"/>
      <c r="F31" s="89"/>
    </row>
    <row r="32" spans="2:8" x14ac:dyDescent="0.3">
      <c r="B32" s="15" t="s">
        <v>45</v>
      </c>
      <c r="C32" s="25" t="s">
        <v>82</v>
      </c>
      <c r="D32" s="25" t="s">
        <v>83</v>
      </c>
      <c r="E32" s="25" t="s">
        <v>84</v>
      </c>
      <c r="F32" s="25" t="s">
        <v>85</v>
      </c>
      <c r="G32" s="105" t="s">
        <v>86</v>
      </c>
      <c r="H32" s="35" t="s">
        <v>89</v>
      </c>
    </row>
    <row r="33" spans="2:8" x14ac:dyDescent="0.3">
      <c r="B33" s="5" t="s">
        <v>0</v>
      </c>
      <c r="C33" s="99"/>
      <c r="D33" s="89"/>
      <c r="E33" s="89"/>
      <c r="F33" s="89"/>
      <c r="G33" s="90"/>
      <c r="H33" s="91"/>
    </row>
    <row r="34" spans="2:8" x14ac:dyDescent="0.3">
      <c r="B34" s="75" t="str">
        <f>'1. Profit from resale programs'!B12</f>
        <v>Resale Program Revenue</v>
      </c>
      <c r="C34" s="6">
        <f>'1. Profit from resale programs'!C12</f>
        <v>0</v>
      </c>
      <c r="D34" s="6">
        <f>'1. Profit from resale programs'!D12</f>
        <v>2000000</v>
      </c>
      <c r="E34" s="6">
        <f>'1. Profit from resale programs'!E12</f>
        <v>2500000</v>
      </c>
      <c r="F34" s="6">
        <f>'1. Profit from resale programs'!F12</f>
        <v>2575000</v>
      </c>
      <c r="G34" s="6">
        <f>'1. Profit from resale programs'!G12</f>
        <v>2652250</v>
      </c>
      <c r="H34" s="54">
        <f>'1. Profit from resale programs'!H12</f>
        <v>2731817.5</v>
      </c>
    </row>
    <row r="35" spans="2:8" x14ac:dyDescent="0.3">
      <c r="B35" s="122" t="s">
        <v>136</v>
      </c>
      <c r="C35" s="6">
        <f>'1. Profit from resale programs'!C13</f>
        <v>0</v>
      </c>
      <c r="D35" s="6">
        <f>'1. Profit from resale programs'!D13</f>
        <v>0</v>
      </c>
      <c r="E35" s="6">
        <f>'1. Profit from resale programs'!E13</f>
        <v>0</v>
      </c>
      <c r="F35" s="6">
        <f>'1. Profit from resale programs'!F13</f>
        <v>0</v>
      </c>
      <c r="G35" s="6">
        <f>'1. Profit from resale programs'!G13</f>
        <v>0</v>
      </c>
      <c r="H35" s="54">
        <f>'1. Profit from resale programs'!H13</f>
        <v>0</v>
      </c>
    </row>
    <row r="36" spans="2:8" x14ac:dyDescent="0.3">
      <c r="B36" s="24" t="s">
        <v>9</v>
      </c>
      <c r="C36" s="6">
        <f>SUM(C34:C35)</f>
        <v>0</v>
      </c>
      <c r="D36" s="6">
        <f t="shared" ref="D36:H36" si="2">SUM(D34:D35)</f>
        <v>2000000</v>
      </c>
      <c r="E36" s="6">
        <f t="shared" si="2"/>
        <v>2500000</v>
      </c>
      <c r="F36" s="6">
        <f t="shared" si="2"/>
        <v>2575000</v>
      </c>
      <c r="G36" s="6">
        <f t="shared" si="2"/>
        <v>2652250</v>
      </c>
      <c r="H36" s="54">
        <f t="shared" si="2"/>
        <v>2731817.5</v>
      </c>
    </row>
    <row r="37" spans="2:8" x14ac:dyDescent="0.3">
      <c r="B37" s="5" t="s">
        <v>1</v>
      </c>
      <c r="C37" s="6"/>
      <c r="D37" s="6"/>
      <c r="E37" s="6"/>
      <c r="F37" s="6"/>
      <c r="G37" s="90"/>
      <c r="H37" s="91"/>
    </row>
    <row r="38" spans="2:8" x14ac:dyDescent="0.3">
      <c r="B38" s="75" t="s">
        <v>88</v>
      </c>
      <c r="C38" s="6">
        <f>C17</f>
        <v>20000</v>
      </c>
      <c r="D38" s="6">
        <f t="shared" ref="D38:H38" si="3">D17</f>
        <v>0</v>
      </c>
      <c r="E38" s="6">
        <f t="shared" si="3"/>
        <v>0</v>
      </c>
      <c r="F38" s="6">
        <f t="shared" si="3"/>
        <v>0</v>
      </c>
      <c r="G38" s="6">
        <f t="shared" si="3"/>
        <v>0</v>
      </c>
      <c r="H38" s="54">
        <f t="shared" si="3"/>
        <v>0</v>
      </c>
    </row>
    <row r="39" spans="2:8" x14ac:dyDescent="0.3">
      <c r="B39" s="75" t="s">
        <v>8</v>
      </c>
      <c r="C39" s="6">
        <f>SUM('1. Profit from resale programs'!C19:C20)</f>
        <v>0</v>
      </c>
      <c r="D39" s="6">
        <f>SUM('1. Profit from resale programs'!D19:D20)</f>
        <v>297000</v>
      </c>
      <c r="E39" s="6">
        <f>SUM('1. Profit from resale programs'!E19:E20)</f>
        <v>305000</v>
      </c>
      <c r="F39" s="6">
        <f>SUM('1. Profit from resale programs'!F19:F20)</f>
        <v>314150</v>
      </c>
      <c r="G39" s="6">
        <f>SUM('1. Profit from resale programs'!G19:G20)</f>
        <v>323574.5</v>
      </c>
      <c r="H39" s="54">
        <f>SUM('1. Profit from resale programs'!H19:H20)</f>
        <v>333281.73499999999</v>
      </c>
    </row>
    <row r="40" spans="2:8" x14ac:dyDescent="0.3">
      <c r="B40" s="76" t="s">
        <v>44</v>
      </c>
      <c r="C40" s="6">
        <f>SUM('1. Profit from resale programs'!C21:C22)</f>
        <v>0</v>
      </c>
      <c r="D40" s="6">
        <f>SUM('1. Profit from resale programs'!D21:D22)</f>
        <v>51000</v>
      </c>
      <c r="E40" s="6">
        <f>SUM('1. Profit from resale programs'!E21:E22)</f>
        <v>55000</v>
      </c>
      <c r="F40" s="6">
        <f>SUM('1. Profit from resale programs'!F21:F22)</f>
        <v>56650</v>
      </c>
      <c r="G40" s="6">
        <f>SUM('1. Profit from resale programs'!G21:G22)</f>
        <v>58349.5</v>
      </c>
      <c r="H40" s="54">
        <f>SUM('1. Profit from resale programs'!H21:H22)</f>
        <v>60099.985000000001</v>
      </c>
    </row>
    <row r="41" spans="2:8" x14ac:dyDescent="0.3">
      <c r="B41" s="76" t="s">
        <v>11</v>
      </c>
      <c r="C41" s="6">
        <f>SUM('1. Profit from resale programs'!C23:C23)</f>
        <v>0</v>
      </c>
      <c r="D41" s="6">
        <f>SUM('1. Profit from resale programs'!D23:D23)</f>
        <v>11900</v>
      </c>
      <c r="E41" s="6">
        <f>SUM('1. Profit from resale programs'!E23:E23)</f>
        <v>12000</v>
      </c>
      <c r="F41" s="6">
        <f>SUM('1. Profit from resale programs'!F23:F23)</f>
        <v>12360</v>
      </c>
      <c r="G41" s="6">
        <f>SUM('1. Profit from resale programs'!G23:G23)</f>
        <v>12730.800000000001</v>
      </c>
      <c r="H41" s="54">
        <f>SUM('1. Profit from resale programs'!H23:H23)</f>
        <v>13112.724000000002</v>
      </c>
    </row>
    <row r="42" spans="2:8" x14ac:dyDescent="0.3">
      <c r="B42" s="76" t="s">
        <v>139</v>
      </c>
      <c r="C42" s="6">
        <f>C24</f>
        <v>0</v>
      </c>
      <c r="D42" s="6">
        <f t="shared" ref="D42:H42" si="4">D24</f>
        <v>10000</v>
      </c>
      <c r="E42" s="6">
        <f t="shared" si="4"/>
        <v>11000</v>
      </c>
      <c r="F42" s="6">
        <f t="shared" si="4"/>
        <v>11330</v>
      </c>
      <c r="G42" s="6">
        <f t="shared" si="4"/>
        <v>11669.9</v>
      </c>
      <c r="H42" s="54">
        <f t="shared" si="4"/>
        <v>12019.996999999999</v>
      </c>
    </row>
    <row r="43" spans="2:8" x14ac:dyDescent="0.3">
      <c r="B43" s="79" t="s">
        <v>101</v>
      </c>
      <c r="C43" s="6">
        <f>SUM('1. Profit from resale programs'!C25:C25)</f>
        <v>0</v>
      </c>
      <c r="D43" s="6">
        <f>SUM('1. Profit from resale programs'!D25:D25)</f>
        <v>0</v>
      </c>
      <c r="E43" s="6">
        <f>SUM('1. Profit from resale programs'!E25:E25)</f>
        <v>0</v>
      </c>
      <c r="F43" s="6">
        <f>SUM('1. Profit from resale programs'!F25:F25)</f>
        <v>0</v>
      </c>
      <c r="G43" s="6">
        <f>SUM('1. Profit from resale programs'!G25:G25)</f>
        <v>0</v>
      </c>
      <c r="H43" s="54">
        <f>SUM('1. Profit from resale programs'!H25:H25)</f>
        <v>0</v>
      </c>
    </row>
    <row r="44" spans="2:8" x14ac:dyDescent="0.3">
      <c r="B44" s="24" t="s">
        <v>10</v>
      </c>
      <c r="C44" s="6">
        <f>SUM(C38:C43)</f>
        <v>20000</v>
      </c>
      <c r="D44" s="6">
        <f t="shared" ref="D44:H44" si="5">SUM(D38:D43)</f>
        <v>369900</v>
      </c>
      <c r="E44" s="6">
        <f t="shared" si="5"/>
        <v>383000</v>
      </c>
      <c r="F44" s="6">
        <f t="shared" si="5"/>
        <v>394490</v>
      </c>
      <c r="G44" s="6">
        <f t="shared" si="5"/>
        <v>406324.7</v>
      </c>
      <c r="H44" s="54">
        <f t="shared" si="5"/>
        <v>418514.44099999993</v>
      </c>
    </row>
    <row r="45" spans="2:8" ht="13.5" thickBot="1" x14ac:dyDescent="0.35">
      <c r="B45" s="7" t="s">
        <v>42</v>
      </c>
      <c r="C45" s="8">
        <f>(C36-C44)</f>
        <v>-20000</v>
      </c>
      <c r="D45" s="8">
        <f t="shared" ref="D45:H45" si="6">D36-D44</f>
        <v>1630100</v>
      </c>
      <c r="E45" s="8">
        <f t="shared" si="6"/>
        <v>2117000</v>
      </c>
      <c r="F45" s="8">
        <f t="shared" si="6"/>
        <v>2180510</v>
      </c>
      <c r="G45" s="8">
        <f t="shared" si="6"/>
        <v>2245925.2999999998</v>
      </c>
      <c r="H45" s="55">
        <f t="shared" si="6"/>
        <v>2313303.0589999999</v>
      </c>
    </row>
    <row r="46" spans="2:8" s="90" customFormat="1" ht="13.5" thickBot="1" x14ac:dyDescent="0.35">
      <c r="B46" s="89"/>
      <c r="C46" s="89"/>
      <c r="D46" s="89"/>
      <c r="E46" s="89"/>
      <c r="F46" s="89"/>
      <c r="G46" s="89"/>
      <c r="H46" s="89"/>
    </row>
    <row r="47" spans="2:8" x14ac:dyDescent="0.3">
      <c r="B47" s="15" t="s">
        <v>22</v>
      </c>
      <c r="C47" s="25" t="s">
        <v>82</v>
      </c>
      <c r="D47" s="25" t="s">
        <v>83</v>
      </c>
      <c r="E47" s="25" t="s">
        <v>84</v>
      </c>
      <c r="F47" s="25" t="s">
        <v>85</v>
      </c>
      <c r="G47" s="105" t="s">
        <v>86</v>
      </c>
      <c r="H47" s="35" t="s">
        <v>89</v>
      </c>
    </row>
    <row r="48" spans="2:8" x14ac:dyDescent="0.3">
      <c r="B48" s="11" t="s">
        <v>91</v>
      </c>
      <c r="C48" s="4">
        <f>C45</f>
        <v>-20000</v>
      </c>
      <c r="D48" s="4">
        <f t="shared" ref="D48:H48" si="7">D45</f>
        <v>1630100</v>
      </c>
      <c r="E48" s="4">
        <f t="shared" si="7"/>
        <v>2117000</v>
      </c>
      <c r="F48" s="4">
        <f t="shared" si="7"/>
        <v>2180510</v>
      </c>
      <c r="G48" s="4">
        <f t="shared" si="7"/>
        <v>2245925.2999999998</v>
      </c>
      <c r="H48" s="62">
        <f t="shared" si="7"/>
        <v>2313303.0589999999</v>
      </c>
    </row>
    <row r="49" spans="2:8" ht="13.5" thickBot="1" x14ac:dyDescent="0.35">
      <c r="B49" s="80" t="s">
        <v>90</v>
      </c>
      <c r="C49" s="78">
        <f>C48+NPV($H$29,D48:H48)</f>
        <v>8260514.6085506286</v>
      </c>
      <c r="D49" s="10"/>
      <c r="E49" s="78"/>
      <c r="F49" s="10"/>
      <c r="G49" s="100"/>
      <c r="H49" s="39"/>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F3B1-2DF6-4798-9DF4-EFB798D3D898}">
  <sheetPr>
    <tabColor theme="5"/>
  </sheetPr>
  <dimension ref="B1:H43"/>
  <sheetViews>
    <sheetView showGridLines="0" zoomScaleNormal="100" workbookViewId="0"/>
  </sheetViews>
  <sheetFormatPr defaultRowHeight="13" x14ac:dyDescent="0.3"/>
  <cols>
    <col min="1" max="1" width="3.36328125" style="87" customWidth="1"/>
    <col min="2" max="2" width="69.6328125" style="89" customWidth="1"/>
    <col min="3" max="3" width="22.81640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85" t="s">
        <v>80</v>
      </c>
      <c r="C2" s="85"/>
    </row>
    <row r="3" spans="2:8" x14ac:dyDescent="0.3">
      <c r="B3" s="81" t="s">
        <v>73</v>
      </c>
      <c r="C3" s="81"/>
      <c r="E3" s="132"/>
    </row>
    <row r="4" spans="2:8" ht="14.5" customHeight="1" x14ac:dyDescent="0.3"/>
    <row r="5" spans="2:8" s="90" customFormat="1" ht="14.5" customHeight="1" x14ac:dyDescent="0.3">
      <c r="B5" s="85" t="s">
        <v>155</v>
      </c>
      <c r="C5" s="85"/>
      <c r="D5" s="89"/>
      <c r="E5" s="89"/>
      <c r="F5" s="89"/>
    </row>
    <row r="6" spans="2:8" s="90" customFormat="1" ht="14" customHeight="1" x14ac:dyDescent="0.3">
      <c r="B6" s="88" t="s">
        <v>215</v>
      </c>
      <c r="C6" s="88"/>
      <c r="D6" s="89"/>
      <c r="E6" s="89"/>
      <c r="F6" s="89"/>
    </row>
    <row r="7" spans="2:8" s="90" customFormat="1" ht="13.5" thickBot="1" x14ac:dyDescent="0.35">
      <c r="B7" s="88"/>
      <c r="C7" s="88"/>
      <c r="D7" s="89"/>
      <c r="E7" s="89"/>
      <c r="F7" s="89"/>
    </row>
    <row r="8" spans="2:8" s="90" customFormat="1" x14ac:dyDescent="0.3">
      <c r="B8" s="15" t="s">
        <v>21</v>
      </c>
      <c r="C8" s="25" t="s">
        <v>82</v>
      </c>
      <c r="D8" s="25" t="s">
        <v>83</v>
      </c>
      <c r="E8" s="25" t="s">
        <v>84</v>
      </c>
      <c r="F8" s="25" t="s">
        <v>85</v>
      </c>
      <c r="G8" s="25" t="s">
        <v>86</v>
      </c>
      <c r="H8" s="41" t="s">
        <v>89</v>
      </c>
    </row>
    <row r="9" spans="2:8" s="90" customFormat="1" x14ac:dyDescent="0.3">
      <c r="B9" s="16"/>
      <c r="C9" s="42"/>
      <c r="D9" s="42"/>
      <c r="E9" s="42"/>
      <c r="F9" s="66"/>
      <c r="G9" s="66"/>
      <c r="H9" s="68"/>
    </row>
    <row r="10" spans="2:8" s="90" customFormat="1" ht="14.5" x14ac:dyDescent="0.35">
      <c r="B10" s="17" t="s">
        <v>1</v>
      </c>
      <c r="C10" s="43"/>
      <c r="D10" s="43"/>
      <c r="E10" s="43"/>
      <c r="F10" s="43"/>
      <c r="G10" s="103"/>
      <c r="H10" s="37"/>
    </row>
    <row r="11" spans="2:8" s="90" customFormat="1" ht="14.5" x14ac:dyDescent="0.35">
      <c r="B11" s="73" t="s">
        <v>87</v>
      </c>
      <c r="C11" s="46"/>
      <c r="D11" s="46"/>
      <c r="E11" s="46"/>
      <c r="F11" s="46"/>
      <c r="G11" s="104"/>
      <c r="H11" s="101"/>
    </row>
    <row r="12" spans="2:8" s="90" customFormat="1" ht="16" customHeight="1" x14ac:dyDescent="0.3">
      <c r="B12" s="18" t="s">
        <v>232</v>
      </c>
      <c r="C12" s="42">
        <v>90000</v>
      </c>
      <c r="D12" s="102">
        <v>0</v>
      </c>
      <c r="E12" s="102">
        <v>0</v>
      </c>
      <c r="F12" s="102">
        <v>0</v>
      </c>
      <c r="G12" s="102">
        <v>0</v>
      </c>
      <c r="H12" s="106">
        <v>0</v>
      </c>
    </row>
    <row r="13" spans="2:8" s="90" customFormat="1" ht="14.5" x14ac:dyDescent="0.35">
      <c r="B13" s="73" t="s">
        <v>157</v>
      </c>
      <c r="C13" s="114"/>
      <c r="D13" s="114"/>
      <c r="E13" s="114"/>
      <c r="F13" s="114"/>
      <c r="G13" s="115"/>
      <c r="H13" s="116"/>
    </row>
    <row r="14" spans="2:8" s="90" customFormat="1" x14ac:dyDescent="0.3">
      <c r="B14" s="110" t="s">
        <v>156</v>
      </c>
      <c r="C14" s="42">
        <v>0</v>
      </c>
      <c r="D14" s="42">
        <v>50000</v>
      </c>
      <c r="E14" s="42">
        <v>52000</v>
      </c>
      <c r="F14" s="66">
        <f t="shared" ref="F14:H15" si="0">E14*(1+F$22)</f>
        <v>53560</v>
      </c>
      <c r="G14" s="66">
        <f t="shared" si="0"/>
        <v>55166.8</v>
      </c>
      <c r="H14" s="68">
        <f t="shared" si="0"/>
        <v>56821.804000000004</v>
      </c>
    </row>
    <row r="15" spans="2:8" s="90" customFormat="1" x14ac:dyDescent="0.3">
      <c r="B15" s="18" t="s">
        <v>163</v>
      </c>
      <c r="C15" s="42">
        <v>0</v>
      </c>
      <c r="D15" s="42">
        <v>10000</v>
      </c>
      <c r="E15" s="42">
        <v>12000</v>
      </c>
      <c r="F15" s="66">
        <f t="shared" si="0"/>
        <v>12360</v>
      </c>
      <c r="G15" s="66">
        <f t="shared" si="0"/>
        <v>12730.800000000001</v>
      </c>
      <c r="H15" s="68">
        <f t="shared" si="0"/>
        <v>13112.724000000002</v>
      </c>
    </row>
    <row r="16" spans="2:8" s="90" customFormat="1" x14ac:dyDescent="0.3">
      <c r="B16" s="18"/>
      <c r="C16" s="111"/>
      <c r="D16" s="111"/>
      <c r="E16" s="111"/>
      <c r="F16" s="112"/>
      <c r="G16" s="112"/>
      <c r="H16" s="113"/>
    </row>
    <row r="17" spans="2:8" s="90" customFormat="1" ht="14.5" x14ac:dyDescent="0.35">
      <c r="B17" s="17" t="s">
        <v>175</v>
      </c>
      <c r="C17" s="43"/>
      <c r="D17" s="43"/>
      <c r="E17" s="43"/>
      <c r="F17" s="43"/>
      <c r="G17" s="103"/>
      <c r="H17" s="37"/>
    </row>
    <row r="18" spans="2:8" s="90" customFormat="1" x14ac:dyDescent="0.3">
      <c r="B18" s="63" t="s">
        <v>176</v>
      </c>
      <c r="C18" s="46">
        <v>0</v>
      </c>
      <c r="D18" s="46">
        <v>30</v>
      </c>
      <c r="E18" s="46">
        <v>30</v>
      </c>
      <c r="F18" s="9">
        <f>E18*(1+F$22)</f>
        <v>30.900000000000002</v>
      </c>
      <c r="G18" s="9">
        <f t="shared" ref="G18:H19" si="1">F18*(1+G$22)</f>
        <v>31.827000000000002</v>
      </c>
      <c r="H18" s="59">
        <f t="shared" si="1"/>
        <v>32.78181</v>
      </c>
    </row>
    <row r="19" spans="2:8" s="90" customFormat="1" x14ac:dyDescent="0.3">
      <c r="B19" s="63" t="s">
        <v>158</v>
      </c>
      <c r="C19" s="111">
        <v>0</v>
      </c>
      <c r="D19" s="111">
        <v>5</v>
      </c>
      <c r="E19" s="111">
        <v>5</v>
      </c>
      <c r="F19" s="9">
        <f>E19*(1+F$22)</f>
        <v>5.15</v>
      </c>
      <c r="G19" s="9">
        <f t="shared" si="1"/>
        <v>5.3045000000000009</v>
      </c>
      <c r="H19" s="59">
        <f t="shared" si="1"/>
        <v>5.4636350000000009</v>
      </c>
    </row>
    <row r="20" spans="2:8" s="90" customFormat="1" ht="14.5" x14ac:dyDescent="0.35">
      <c r="B20" s="18"/>
      <c r="C20" s="46"/>
      <c r="D20" s="46"/>
      <c r="E20" s="46"/>
      <c r="F20" s="46"/>
      <c r="G20" s="2"/>
      <c r="H20" s="36"/>
    </row>
    <row r="21" spans="2:8" s="90" customFormat="1" ht="14.5" x14ac:dyDescent="0.35">
      <c r="B21" s="17" t="s">
        <v>66</v>
      </c>
      <c r="C21" s="26"/>
      <c r="D21" s="26"/>
      <c r="E21" s="26"/>
      <c r="F21" s="26"/>
      <c r="G21" s="103"/>
      <c r="H21" s="37"/>
    </row>
    <row r="22" spans="2:8" s="90" customFormat="1" x14ac:dyDescent="0.3">
      <c r="B22" s="63" t="s">
        <v>35</v>
      </c>
      <c r="C22" s="27"/>
      <c r="D22" s="51">
        <v>0.03</v>
      </c>
      <c r="E22" s="51">
        <v>0.03</v>
      </c>
      <c r="F22" s="51">
        <v>0.03</v>
      </c>
      <c r="G22" s="51">
        <v>0.03</v>
      </c>
      <c r="H22" s="65">
        <v>0.03</v>
      </c>
    </row>
    <row r="23" spans="2:8" s="90" customFormat="1" ht="16" customHeight="1" thickBot="1" x14ac:dyDescent="0.35">
      <c r="B23" s="21" t="s">
        <v>15</v>
      </c>
      <c r="C23" s="28"/>
      <c r="D23" s="53"/>
      <c r="E23" s="53"/>
      <c r="F23" s="53"/>
      <c r="G23" s="53"/>
      <c r="H23" s="82">
        <v>0.08</v>
      </c>
    </row>
    <row r="24" spans="2:8" s="90" customFormat="1" ht="13.5" thickBot="1" x14ac:dyDescent="0.35">
      <c r="B24" s="88"/>
      <c r="C24" s="88"/>
      <c r="D24" s="89"/>
      <c r="E24" s="89"/>
      <c r="F24" s="89"/>
    </row>
    <row r="25" spans="2:8" ht="29.5" customHeight="1" x14ac:dyDescent="0.3">
      <c r="B25" s="40" t="s">
        <v>174</v>
      </c>
      <c r="C25" s="25" t="s">
        <v>82</v>
      </c>
      <c r="D25" s="25" t="s">
        <v>83</v>
      </c>
      <c r="E25" s="25" t="s">
        <v>84</v>
      </c>
      <c r="F25" s="25" t="s">
        <v>85</v>
      </c>
      <c r="G25" s="25" t="s">
        <v>86</v>
      </c>
      <c r="H25" s="41" t="s">
        <v>89</v>
      </c>
    </row>
    <row r="26" spans="2:8" x14ac:dyDescent="0.3">
      <c r="B26" s="5" t="s">
        <v>159</v>
      </c>
      <c r="C26" s="99"/>
      <c r="D26" s="89"/>
      <c r="E26" s="89"/>
      <c r="F26" s="89"/>
      <c r="G26" s="90"/>
      <c r="H26" s="91"/>
    </row>
    <row r="27" spans="2:8" x14ac:dyDescent="0.3">
      <c r="B27" s="75" t="s">
        <v>162</v>
      </c>
      <c r="C27" s="128">
        <f>C18</f>
        <v>0</v>
      </c>
      <c r="D27" s="128">
        <f>D18</f>
        <v>30</v>
      </c>
      <c r="E27" s="128">
        <f t="shared" ref="E27:H27" si="2">E18</f>
        <v>30</v>
      </c>
      <c r="F27" s="128">
        <f t="shared" si="2"/>
        <v>30.900000000000002</v>
      </c>
      <c r="G27" s="128">
        <f t="shared" si="2"/>
        <v>31.827000000000002</v>
      </c>
      <c r="H27" s="129">
        <f t="shared" si="2"/>
        <v>32.78181</v>
      </c>
    </row>
    <row r="28" spans="2:8" x14ac:dyDescent="0.3">
      <c r="B28" s="119" t="s">
        <v>156</v>
      </c>
      <c r="C28" s="6">
        <f>C14</f>
        <v>0</v>
      </c>
      <c r="D28" s="6">
        <f t="shared" ref="D28:H28" si="3">D14</f>
        <v>50000</v>
      </c>
      <c r="E28" s="6">
        <f t="shared" si="3"/>
        <v>52000</v>
      </c>
      <c r="F28" s="6">
        <f t="shared" si="3"/>
        <v>53560</v>
      </c>
      <c r="G28" s="6">
        <f t="shared" si="3"/>
        <v>55166.8</v>
      </c>
      <c r="H28" s="54">
        <f t="shared" si="3"/>
        <v>56821.804000000004</v>
      </c>
    </row>
    <row r="29" spans="2:8" x14ac:dyDescent="0.3">
      <c r="B29" s="79" t="s">
        <v>163</v>
      </c>
      <c r="C29" s="6">
        <f>C15</f>
        <v>0</v>
      </c>
      <c r="D29" s="6">
        <f t="shared" ref="D29:H29" si="4">D15</f>
        <v>10000</v>
      </c>
      <c r="E29" s="6">
        <f t="shared" si="4"/>
        <v>12000</v>
      </c>
      <c r="F29" s="6">
        <f t="shared" si="4"/>
        <v>12360</v>
      </c>
      <c r="G29" s="6">
        <f t="shared" si="4"/>
        <v>12730.800000000001</v>
      </c>
      <c r="H29" s="54">
        <f t="shared" si="4"/>
        <v>13112.724000000002</v>
      </c>
    </row>
    <row r="30" spans="2:8" x14ac:dyDescent="0.3">
      <c r="B30" s="75" t="s">
        <v>10</v>
      </c>
      <c r="C30" s="6">
        <f>SUM(C28:C29)*C27</f>
        <v>0</v>
      </c>
      <c r="D30" s="6">
        <f t="shared" ref="D30:H30" si="5">SUM(D28:D29)*D27</f>
        <v>1800000</v>
      </c>
      <c r="E30" s="6">
        <f t="shared" si="5"/>
        <v>1920000</v>
      </c>
      <c r="F30" s="6">
        <f t="shared" si="5"/>
        <v>2036928.0000000002</v>
      </c>
      <c r="G30" s="6">
        <f t="shared" si="5"/>
        <v>2160976.9152000002</v>
      </c>
      <c r="H30" s="54">
        <f t="shared" si="5"/>
        <v>2292580.4093356803</v>
      </c>
    </row>
    <row r="31" spans="2:8" x14ac:dyDescent="0.3">
      <c r="B31" s="117" t="s">
        <v>160</v>
      </c>
      <c r="C31" s="6">
        <f>C30</f>
        <v>0</v>
      </c>
      <c r="D31" s="6">
        <f t="shared" ref="D31:H31" si="6">D30</f>
        <v>1800000</v>
      </c>
      <c r="E31" s="6">
        <f t="shared" si="6"/>
        <v>1920000</v>
      </c>
      <c r="F31" s="6">
        <f t="shared" si="6"/>
        <v>2036928.0000000002</v>
      </c>
      <c r="G31" s="6">
        <f t="shared" si="6"/>
        <v>2160976.9152000002</v>
      </c>
      <c r="H31" s="54">
        <f t="shared" si="6"/>
        <v>2292580.4093356803</v>
      </c>
    </row>
    <row r="32" spans="2:8" x14ac:dyDescent="0.3">
      <c r="B32" s="5" t="s">
        <v>161</v>
      </c>
      <c r="C32" s="6"/>
      <c r="D32" s="6"/>
      <c r="E32" s="6"/>
      <c r="F32" s="6"/>
      <c r="G32" s="6"/>
      <c r="H32" s="54"/>
    </row>
    <row r="33" spans="2:8" x14ac:dyDescent="0.3">
      <c r="B33" s="79" t="s">
        <v>232</v>
      </c>
      <c r="C33" s="6">
        <f>C12</f>
        <v>90000</v>
      </c>
      <c r="D33" s="6">
        <f t="shared" ref="D33:H33" si="7">D12</f>
        <v>0</v>
      </c>
      <c r="E33" s="6">
        <f t="shared" si="7"/>
        <v>0</v>
      </c>
      <c r="F33" s="6">
        <f t="shared" si="7"/>
        <v>0</v>
      </c>
      <c r="G33" s="6">
        <f t="shared" si="7"/>
        <v>0</v>
      </c>
      <c r="H33" s="54">
        <f t="shared" si="7"/>
        <v>0</v>
      </c>
    </row>
    <row r="34" spans="2:8" x14ac:dyDescent="0.3">
      <c r="B34" s="75" t="s">
        <v>162</v>
      </c>
      <c r="C34" s="6">
        <f>C19</f>
        <v>0</v>
      </c>
      <c r="D34" s="6">
        <f t="shared" ref="D34:H34" si="8">D19</f>
        <v>5</v>
      </c>
      <c r="E34" s="6">
        <f t="shared" si="8"/>
        <v>5</v>
      </c>
      <c r="F34" s="6">
        <f t="shared" si="8"/>
        <v>5.15</v>
      </c>
      <c r="G34" s="6">
        <f t="shared" si="8"/>
        <v>5.3045000000000009</v>
      </c>
      <c r="H34" s="54">
        <f t="shared" si="8"/>
        <v>5.4636350000000009</v>
      </c>
    </row>
    <row r="35" spans="2:8" x14ac:dyDescent="0.3">
      <c r="B35" s="119" t="s">
        <v>156</v>
      </c>
      <c r="C35" s="6">
        <f>C14</f>
        <v>0</v>
      </c>
      <c r="D35" s="6">
        <f t="shared" ref="D35:H35" si="9">D14</f>
        <v>50000</v>
      </c>
      <c r="E35" s="6">
        <f t="shared" si="9"/>
        <v>52000</v>
      </c>
      <c r="F35" s="6">
        <f t="shared" si="9"/>
        <v>53560</v>
      </c>
      <c r="G35" s="6">
        <f t="shared" si="9"/>
        <v>55166.8</v>
      </c>
      <c r="H35" s="54">
        <f t="shared" si="9"/>
        <v>56821.804000000004</v>
      </c>
    </row>
    <row r="36" spans="2:8" x14ac:dyDescent="0.3">
      <c r="B36" s="79" t="s">
        <v>163</v>
      </c>
      <c r="C36" s="6">
        <f>C15</f>
        <v>0</v>
      </c>
      <c r="D36" s="6">
        <f t="shared" ref="D36:H36" si="10">D15</f>
        <v>10000</v>
      </c>
      <c r="E36" s="6">
        <f t="shared" si="10"/>
        <v>12000</v>
      </c>
      <c r="F36" s="6">
        <f t="shared" si="10"/>
        <v>12360</v>
      </c>
      <c r="G36" s="6">
        <f t="shared" si="10"/>
        <v>12730.800000000001</v>
      </c>
      <c r="H36" s="54">
        <f t="shared" si="10"/>
        <v>13112.724000000002</v>
      </c>
    </row>
    <row r="37" spans="2:8" x14ac:dyDescent="0.3">
      <c r="B37" s="75" t="s">
        <v>10</v>
      </c>
      <c r="C37" s="6">
        <f>C33+((C35+C36)*C34)</f>
        <v>90000</v>
      </c>
      <c r="D37" s="6">
        <f t="shared" ref="D37:H37" si="11">D33+((D35+D36)*D34)</f>
        <v>300000</v>
      </c>
      <c r="E37" s="6">
        <f t="shared" si="11"/>
        <v>320000</v>
      </c>
      <c r="F37" s="6">
        <f t="shared" si="11"/>
        <v>339488</v>
      </c>
      <c r="G37" s="6">
        <f t="shared" si="11"/>
        <v>360162.81920000009</v>
      </c>
      <c r="H37" s="54">
        <f t="shared" si="11"/>
        <v>382096.73488928011</v>
      </c>
    </row>
    <row r="38" spans="2:8" x14ac:dyDescent="0.3">
      <c r="B38" s="117" t="s">
        <v>177</v>
      </c>
      <c r="C38" s="6">
        <f>C37</f>
        <v>90000</v>
      </c>
      <c r="D38" s="6">
        <f t="shared" ref="D38:H38" si="12">D37</f>
        <v>300000</v>
      </c>
      <c r="E38" s="6">
        <f t="shared" si="12"/>
        <v>320000</v>
      </c>
      <c r="F38" s="6">
        <f t="shared" si="12"/>
        <v>339488</v>
      </c>
      <c r="G38" s="6">
        <f t="shared" si="12"/>
        <v>360162.81920000009</v>
      </c>
      <c r="H38" s="54">
        <f t="shared" si="12"/>
        <v>382096.73488928011</v>
      </c>
    </row>
    <row r="39" spans="2:8" ht="13.5" thickBot="1" x14ac:dyDescent="0.35">
      <c r="B39" s="7" t="s">
        <v>238</v>
      </c>
      <c r="C39" s="8">
        <f>(C31-C38)</f>
        <v>-90000</v>
      </c>
      <c r="D39" s="8">
        <f>D31-D38</f>
        <v>1500000</v>
      </c>
      <c r="E39" s="8">
        <f>E31-E38</f>
        <v>1600000</v>
      </c>
      <c r="F39" s="8">
        <f>F31-F38</f>
        <v>1697440.0000000002</v>
      </c>
      <c r="G39" s="8">
        <f>G31-G38</f>
        <v>1800814.0960000001</v>
      </c>
      <c r="H39" s="55">
        <f>H31-H38</f>
        <v>1910483.6744464003</v>
      </c>
    </row>
    <row r="40" spans="2:8" s="90" customFormat="1" ht="13.5" thickBot="1" x14ac:dyDescent="0.35">
      <c r="B40" s="89"/>
      <c r="C40" s="89"/>
      <c r="D40" s="89"/>
      <c r="E40" s="89"/>
      <c r="F40" s="89"/>
      <c r="G40" s="89"/>
      <c r="H40" s="89"/>
    </row>
    <row r="41" spans="2:8" x14ac:dyDescent="0.3">
      <c r="B41" s="15" t="s">
        <v>22</v>
      </c>
      <c r="C41" s="25" t="s">
        <v>82</v>
      </c>
      <c r="D41" s="25" t="s">
        <v>83</v>
      </c>
      <c r="E41" s="25" t="s">
        <v>84</v>
      </c>
      <c r="F41" s="25" t="s">
        <v>85</v>
      </c>
      <c r="G41" s="105" t="s">
        <v>86</v>
      </c>
      <c r="H41" s="35" t="s">
        <v>89</v>
      </c>
    </row>
    <row r="42" spans="2:8" x14ac:dyDescent="0.3">
      <c r="B42" s="11" t="s">
        <v>91</v>
      </c>
      <c r="C42" s="4">
        <f>C39</f>
        <v>-90000</v>
      </c>
      <c r="D42" s="4">
        <f t="shared" ref="D42:H42" si="13">D39</f>
        <v>1500000</v>
      </c>
      <c r="E42" s="4">
        <f t="shared" si="13"/>
        <v>1600000</v>
      </c>
      <c r="F42" s="4">
        <f t="shared" si="13"/>
        <v>1697440.0000000002</v>
      </c>
      <c r="G42" s="4">
        <f t="shared" si="13"/>
        <v>1800814.0960000001</v>
      </c>
      <c r="H42" s="62">
        <f t="shared" si="13"/>
        <v>1910483.6744464003</v>
      </c>
    </row>
    <row r="43" spans="2:8" ht="13.5" thickBot="1" x14ac:dyDescent="0.35">
      <c r="B43" s="80" t="s">
        <v>90</v>
      </c>
      <c r="C43" s="78">
        <f>C42+NPV($H$23,D42:H42)</f>
        <v>6642008.8075011997</v>
      </c>
      <c r="D43" s="10"/>
      <c r="E43" s="78"/>
      <c r="F43" s="10"/>
      <c r="G43" s="100"/>
      <c r="H43" s="39"/>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617F-514A-4F9C-B250-9E14B9AD260D}">
  <sheetPr>
    <tabColor rgb="FFFF9999"/>
  </sheetPr>
  <dimension ref="B1:J39"/>
  <sheetViews>
    <sheetView showGridLines="0" zoomScaleNormal="100" workbookViewId="0"/>
  </sheetViews>
  <sheetFormatPr defaultRowHeight="13" x14ac:dyDescent="0.3"/>
  <cols>
    <col min="1" max="1" width="3.36328125" style="87" customWidth="1"/>
    <col min="2" max="2" width="69.6328125" style="89" customWidth="1"/>
    <col min="3" max="3" width="19.7265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85" t="s">
        <v>80</v>
      </c>
      <c r="C2" s="85"/>
    </row>
    <row r="3" spans="2:8" x14ac:dyDescent="0.3">
      <c r="B3" s="88" t="s">
        <v>106</v>
      </c>
      <c r="C3" s="88"/>
    </row>
    <row r="4" spans="2:8" x14ac:dyDescent="0.3">
      <c r="B4" s="81" t="s">
        <v>73</v>
      </c>
      <c r="C4" s="81"/>
    </row>
    <row r="5" spans="2:8" x14ac:dyDescent="0.3">
      <c r="B5" s="81"/>
      <c r="C5" s="81"/>
    </row>
    <row r="6" spans="2:8" s="90" customFormat="1" x14ac:dyDescent="0.3">
      <c r="B6" s="85" t="s">
        <v>59</v>
      </c>
      <c r="C6" s="85"/>
      <c r="D6" s="89"/>
      <c r="E6" s="89"/>
      <c r="F6" s="89"/>
    </row>
    <row r="7" spans="2:8" s="90" customFormat="1" x14ac:dyDescent="0.3">
      <c r="B7" s="88" t="s">
        <v>92</v>
      </c>
      <c r="C7" s="88"/>
      <c r="D7" s="89"/>
      <c r="E7" s="89"/>
      <c r="F7" s="89"/>
    </row>
    <row r="8" spans="2:8" s="90" customFormat="1" ht="13.5" thickBot="1" x14ac:dyDescent="0.35">
      <c r="B8" s="88"/>
      <c r="C8" s="88"/>
      <c r="D8" s="89"/>
      <c r="E8" s="89"/>
      <c r="F8" s="89"/>
    </row>
    <row r="9" spans="2:8" s="90" customFormat="1" x14ac:dyDescent="0.3">
      <c r="B9" s="15" t="s">
        <v>21</v>
      </c>
      <c r="C9" s="25" t="s">
        <v>82</v>
      </c>
      <c r="D9" s="25" t="s">
        <v>83</v>
      </c>
      <c r="E9" s="25" t="s">
        <v>84</v>
      </c>
      <c r="F9" s="25" t="s">
        <v>85</v>
      </c>
      <c r="G9" s="105" t="s">
        <v>86</v>
      </c>
      <c r="H9" s="35" t="s">
        <v>89</v>
      </c>
    </row>
    <row r="10" spans="2:8" s="90" customFormat="1" ht="14.5" x14ac:dyDescent="0.35">
      <c r="B10" s="19"/>
      <c r="C10" s="44"/>
      <c r="D10" s="44"/>
      <c r="E10" s="44"/>
      <c r="F10" s="44"/>
      <c r="G10" s="2"/>
      <c r="H10" s="36"/>
    </row>
    <row r="11" spans="2:8" s="90" customFormat="1" ht="14.5" x14ac:dyDescent="0.35">
      <c r="B11" s="17" t="s">
        <v>41</v>
      </c>
      <c r="C11" s="43"/>
      <c r="D11" s="43"/>
      <c r="E11" s="43"/>
      <c r="F11" s="43"/>
      <c r="G11" s="103"/>
      <c r="H11" s="37"/>
    </row>
    <row r="12" spans="2:8" s="90" customFormat="1" x14ac:dyDescent="0.3">
      <c r="B12" s="18" t="s">
        <v>166</v>
      </c>
      <c r="C12" s="52">
        <v>0</v>
      </c>
      <c r="D12" s="52">
        <v>600</v>
      </c>
      <c r="E12" s="52">
        <v>650</v>
      </c>
      <c r="F12" s="9">
        <f t="shared" ref="F12:H16" si="0">E12*(1+F$19)</f>
        <v>669.5</v>
      </c>
      <c r="G12" s="9">
        <f t="shared" si="0"/>
        <v>689.58500000000004</v>
      </c>
      <c r="H12" s="59">
        <f t="shared" si="0"/>
        <v>710.27255000000002</v>
      </c>
    </row>
    <row r="13" spans="2:8" s="90" customFormat="1" x14ac:dyDescent="0.3">
      <c r="B13" s="18" t="s">
        <v>49</v>
      </c>
      <c r="C13" s="49">
        <v>0</v>
      </c>
      <c r="D13" s="49">
        <v>110</v>
      </c>
      <c r="E13" s="49">
        <v>120</v>
      </c>
      <c r="F13" s="66">
        <f t="shared" si="0"/>
        <v>123.60000000000001</v>
      </c>
      <c r="G13" s="66">
        <f t="shared" si="0"/>
        <v>127.30800000000001</v>
      </c>
      <c r="H13" s="68">
        <f t="shared" si="0"/>
        <v>131.12724</v>
      </c>
    </row>
    <row r="14" spans="2:8" s="90" customFormat="1" x14ac:dyDescent="0.3">
      <c r="B14" s="18" t="s">
        <v>111</v>
      </c>
      <c r="C14" s="45">
        <v>0</v>
      </c>
      <c r="D14" s="45">
        <v>600</v>
      </c>
      <c r="E14" s="45">
        <v>650</v>
      </c>
      <c r="F14" s="32">
        <f t="shared" si="0"/>
        <v>669.5</v>
      </c>
      <c r="G14" s="32">
        <f t="shared" si="0"/>
        <v>689.58500000000004</v>
      </c>
      <c r="H14" s="56">
        <f t="shared" si="0"/>
        <v>710.27255000000002</v>
      </c>
    </row>
    <row r="15" spans="2:8" s="90" customFormat="1" x14ac:dyDescent="0.3">
      <c r="B15" s="18" t="s">
        <v>168</v>
      </c>
      <c r="C15" s="42">
        <v>0</v>
      </c>
      <c r="D15" s="42">
        <v>72</v>
      </c>
      <c r="E15" s="42">
        <v>75</v>
      </c>
      <c r="F15" s="66">
        <f t="shared" si="0"/>
        <v>77.25</v>
      </c>
      <c r="G15" s="66">
        <f t="shared" si="0"/>
        <v>79.567499999999995</v>
      </c>
      <c r="H15" s="68">
        <f t="shared" si="0"/>
        <v>81.954525000000004</v>
      </c>
    </row>
    <row r="16" spans="2:8" s="90" customFormat="1" x14ac:dyDescent="0.3">
      <c r="B16" s="18" t="s">
        <v>101</v>
      </c>
      <c r="C16" s="42">
        <v>0</v>
      </c>
      <c r="D16" s="42">
        <v>0</v>
      </c>
      <c r="E16" s="42">
        <v>0</v>
      </c>
      <c r="F16" s="66">
        <f t="shared" si="0"/>
        <v>0</v>
      </c>
      <c r="G16" s="66">
        <f t="shared" si="0"/>
        <v>0</v>
      </c>
      <c r="H16" s="68">
        <f t="shared" si="0"/>
        <v>0</v>
      </c>
    </row>
    <row r="17" spans="2:10" s="90" customFormat="1" ht="14.5" x14ac:dyDescent="0.35">
      <c r="B17" s="18"/>
      <c r="C17" s="46"/>
      <c r="D17" s="46"/>
      <c r="E17" s="46"/>
      <c r="F17" s="46"/>
      <c r="G17" s="2"/>
      <c r="H17" s="36"/>
    </row>
    <row r="18" spans="2:10" s="90" customFormat="1" ht="14.5" x14ac:dyDescent="0.35">
      <c r="B18" s="17" t="s">
        <v>66</v>
      </c>
      <c r="C18" s="26"/>
      <c r="D18" s="26"/>
      <c r="E18" s="26"/>
      <c r="F18" s="26"/>
      <c r="G18" s="103"/>
      <c r="H18" s="37"/>
    </row>
    <row r="19" spans="2:10" s="90" customFormat="1" x14ac:dyDescent="0.3">
      <c r="B19" s="63" t="s">
        <v>35</v>
      </c>
      <c r="C19" s="27"/>
      <c r="D19" s="51">
        <v>0.03</v>
      </c>
      <c r="E19" s="51">
        <v>0.03</v>
      </c>
      <c r="F19" s="51">
        <v>0.03</v>
      </c>
      <c r="G19" s="51">
        <v>0.03</v>
      </c>
      <c r="H19" s="65">
        <v>0.03</v>
      </c>
    </row>
    <row r="20" spans="2:10" s="90" customFormat="1" ht="16" customHeight="1" thickBot="1" x14ac:dyDescent="0.35">
      <c r="B20" s="21" t="s">
        <v>15</v>
      </c>
      <c r="C20" s="28"/>
      <c r="D20" s="53"/>
      <c r="E20" s="53"/>
      <c r="F20" s="53"/>
      <c r="G20" s="53"/>
      <c r="H20" s="82">
        <v>0.08</v>
      </c>
    </row>
    <row r="21" spans="2:10" s="90" customFormat="1" ht="18" customHeight="1" thickBot="1" x14ac:dyDescent="0.35">
      <c r="B21" s="88"/>
      <c r="C21" s="88"/>
      <c r="D21" s="89"/>
      <c r="E21" s="89"/>
      <c r="F21" s="89"/>
    </row>
    <row r="22" spans="2:10" ht="26" x14ac:dyDescent="0.3">
      <c r="B22" s="40" t="s">
        <v>93</v>
      </c>
      <c r="C22" s="25" t="s">
        <v>82</v>
      </c>
      <c r="D22" s="25" t="s">
        <v>83</v>
      </c>
      <c r="E22" s="25" t="s">
        <v>84</v>
      </c>
      <c r="F22" s="25" t="s">
        <v>85</v>
      </c>
      <c r="G22" s="25" t="s">
        <v>86</v>
      </c>
      <c r="H22" s="41" t="s">
        <v>89</v>
      </c>
    </row>
    <row r="23" spans="2:10" x14ac:dyDescent="0.3">
      <c r="B23" s="5" t="s">
        <v>0</v>
      </c>
      <c r="C23" s="99"/>
      <c r="D23" s="89"/>
      <c r="E23" s="89"/>
      <c r="F23" s="89"/>
      <c r="G23" s="90"/>
      <c r="H23" s="91"/>
    </row>
    <row r="24" spans="2:10" ht="13.5" customHeight="1" x14ac:dyDescent="0.3">
      <c r="B24" s="79" t="s">
        <v>166</v>
      </c>
      <c r="C24" s="32">
        <f>'3. New purchase sales (resale)'!C12</f>
        <v>0</v>
      </c>
      <c r="D24" s="32">
        <f>'3. New purchase sales (resale)'!D12</f>
        <v>600</v>
      </c>
      <c r="E24" s="32">
        <f>'3. New purchase sales (resale)'!E12</f>
        <v>650</v>
      </c>
      <c r="F24" s="32">
        <f>'3. New purchase sales (resale)'!F12</f>
        <v>669.5</v>
      </c>
      <c r="G24" s="32">
        <f>'3. New purchase sales (resale)'!G12</f>
        <v>689.58500000000004</v>
      </c>
      <c r="H24" s="56">
        <f>'3. New purchase sales (resale)'!H12</f>
        <v>710.27255000000002</v>
      </c>
      <c r="J24" s="92"/>
    </row>
    <row r="25" spans="2:10" ht="15.5" customHeight="1" x14ac:dyDescent="0.3">
      <c r="B25" s="79" t="s">
        <v>49</v>
      </c>
      <c r="C25" s="30">
        <f>'3. New purchase sales (resale)'!C13</f>
        <v>0</v>
      </c>
      <c r="D25" s="30">
        <f>'3. New purchase sales (resale)'!D13</f>
        <v>110</v>
      </c>
      <c r="E25" s="30">
        <f>'3. New purchase sales (resale)'!E13</f>
        <v>120</v>
      </c>
      <c r="F25" s="30">
        <f>'3. New purchase sales (resale)'!F13</f>
        <v>123.60000000000001</v>
      </c>
      <c r="G25" s="30">
        <f>'3. New purchase sales (resale)'!G13</f>
        <v>127.30800000000001</v>
      </c>
      <c r="H25" s="58">
        <f>'3. New purchase sales (resale)'!H13</f>
        <v>131.12724</v>
      </c>
    </row>
    <row r="26" spans="2:10" x14ac:dyDescent="0.3">
      <c r="B26" s="79" t="s">
        <v>72</v>
      </c>
      <c r="C26" s="30">
        <f>C24*C25</f>
        <v>0</v>
      </c>
      <c r="D26" s="30">
        <f>D24*D25</f>
        <v>66000</v>
      </c>
      <c r="E26" s="30">
        <f t="shared" ref="E26:H26" si="1">E24*E25</f>
        <v>78000</v>
      </c>
      <c r="F26" s="30">
        <f t="shared" si="1"/>
        <v>82750.200000000012</v>
      </c>
      <c r="G26" s="30">
        <f t="shared" si="1"/>
        <v>87789.687180000008</v>
      </c>
      <c r="H26" s="58">
        <f t="shared" si="1"/>
        <v>93136.079129261998</v>
      </c>
    </row>
    <row r="27" spans="2:10" x14ac:dyDescent="0.3">
      <c r="B27" s="24" t="s">
        <v>9</v>
      </c>
      <c r="C27" s="30">
        <f>SUM(C26)</f>
        <v>0</v>
      </c>
      <c r="D27" s="30">
        <f>SUM(D26)</f>
        <v>66000</v>
      </c>
      <c r="E27" s="30">
        <f t="shared" ref="E27:H27" si="2">SUM(E26)</f>
        <v>78000</v>
      </c>
      <c r="F27" s="30">
        <f t="shared" si="2"/>
        <v>82750.200000000012</v>
      </c>
      <c r="G27" s="30">
        <f t="shared" si="2"/>
        <v>87789.687180000008</v>
      </c>
      <c r="H27" s="58">
        <f t="shared" si="2"/>
        <v>93136.079129261998</v>
      </c>
    </row>
    <row r="28" spans="2:10" x14ac:dyDescent="0.3">
      <c r="B28" s="5" t="s">
        <v>1</v>
      </c>
      <c r="C28" s="30"/>
      <c r="D28" s="30"/>
      <c r="E28" s="30"/>
      <c r="F28" s="30"/>
      <c r="G28" s="30"/>
      <c r="H28" s="58"/>
    </row>
    <row r="29" spans="2:10" ht="13.5" customHeight="1" x14ac:dyDescent="0.3">
      <c r="B29" s="79" t="s">
        <v>111</v>
      </c>
      <c r="C29" s="32">
        <f>'3. New purchase sales (resale)'!C14</f>
        <v>0</v>
      </c>
      <c r="D29" s="83">
        <f>'3. New purchase sales (resale)'!D14</f>
        <v>600</v>
      </c>
      <c r="E29" s="83">
        <f>'3. New purchase sales (resale)'!E14</f>
        <v>650</v>
      </c>
      <c r="F29" s="83">
        <f>'3. New purchase sales (resale)'!F14</f>
        <v>669.5</v>
      </c>
      <c r="G29" s="83">
        <f>'3. New purchase sales (resale)'!G14</f>
        <v>689.58500000000004</v>
      </c>
      <c r="H29" s="84">
        <f>'3. New purchase sales (resale)'!H14</f>
        <v>710.27255000000002</v>
      </c>
    </row>
    <row r="30" spans="2:10" ht="14" customHeight="1" x14ac:dyDescent="0.3">
      <c r="B30" s="79" t="s">
        <v>168</v>
      </c>
      <c r="C30" s="30">
        <f>'3. New purchase sales (resale)'!C15</f>
        <v>0</v>
      </c>
      <c r="D30" s="30">
        <f>'3. New purchase sales (resale)'!D15</f>
        <v>72</v>
      </c>
      <c r="E30" s="30">
        <f>'3. New purchase sales (resale)'!E15</f>
        <v>75</v>
      </c>
      <c r="F30" s="30">
        <f>'3. New purchase sales (resale)'!F15</f>
        <v>77.25</v>
      </c>
      <c r="G30" s="30">
        <f>'3. New purchase sales (resale)'!G15</f>
        <v>79.567499999999995</v>
      </c>
      <c r="H30" s="58">
        <f>'3. New purchase sales (resale)'!H15</f>
        <v>81.954525000000004</v>
      </c>
    </row>
    <row r="31" spans="2:10" ht="13.5" customHeight="1" x14ac:dyDescent="0.3">
      <c r="B31" s="75" t="s">
        <v>167</v>
      </c>
      <c r="C31" s="6">
        <f t="shared" ref="C31:H31" si="3">C30*C29</f>
        <v>0</v>
      </c>
      <c r="D31" s="6">
        <f t="shared" si="3"/>
        <v>43200</v>
      </c>
      <c r="E31" s="6">
        <f t="shared" si="3"/>
        <v>48750</v>
      </c>
      <c r="F31" s="6">
        <f t="shared" si="3"/>
        <v>51718.875</v>
      </c>
      <c r="G31" s="6">
        <f t="shared" si="3"/>
        <v>54868.554487499998</v>
      </c>
      <c r="H31" s="54">
        <f t="shared" si="3"/>
        <v>58210.049455788758</v>
      </c>
    </row>
    <row r="32" spans="2:10" x14ac:dyDescent="0.3">
      <c r="B32" s="75" t="s">
        <v>101</v>
      </c>
      <c r="C32" s="6">
        <f>C16</f>
        <v>0</v>
      </c>
      <c r="D32" s="6">
        <f t="shared" ref="D32:H32" si="4">D16</f>
        <v>0</v>
      </c>
      <c r="E32" s="6">
        <f t="shared" si="4"/>
        <v>0</v>
      </c>
      <c r="F32" s="6">
        <f t="shared" si="4"/>
        <v>0</v>
      </c>
      <c r="G32" s="6">
        <f t="shared" si="4"/>
        <v>0</v>
      </c>
      <c r="H32" s="54">
        <f t="shared" si="4"/>
        <v>0</v>
      </c>
    </row>
    <row r="33" spans="2:9" x14ac:dyDescent="0.3">
      <c r="B33" s="24" t="s">
        <v>10</v>
      </c>
      <c r="C33" s="6">
        <f>C31+C32</f>
        <v>0</v>
      </c>
      <c r="D33" s="6">
        <f t="shared" ref="D33:H33" si="5">D31+D32</f>
        <v>43200</v>
      </c>
      <c r="E33" s="6">
        <f t="shared" si="5"/>
        <v>48750</v>
      </c>
      <c r="F33" s="6">
        <f t="shared" si="5"/>
        <v>51718.875</v>
      </c>
      <c r="G33" s="6">
        <f t="shared" si="5"/>
        <v>54868.554487499998</v>
      </c>
      <c r="H33" s="54">
        <f t="shared" si="5"/>
        <v>58210.049455788758</v>
      </c>
    </row>
    <row r="34" spans="2:9" ht="13.5" thickBot="1" x14ac:dyDescent="0.35">
      <c r="B34" s="7" t="s">
        <v>94</v>
      </c>
      <c r="C34" s="8">
        <f t="shared" ref="C34:H34" si="6">C27-C33</f>
        <v>0</v>
      </c>
      <c r="D34" s="8">
        <f t="shared" si="6"/>
        <v>22800</v>
      </c>
      <c r="E34" s="8">
        <f t="shared" si="6"/>
        <v>29250</v>
      </c>
      <c r="F34" s="8">
        <f t="shared" si="6"/>
        <v>31031.325000000012</v>
      </c>
      <c r="G34" s="8">
        <f t="shared" si="6"/>
        <v>32921.13269250001</v>
      </c>
      <c r="H34" s="55">
        <f t="shared" si="6"/>
        <v>34926.02967347324</v>
      </c>
      <c r="I34" s="92"/>
    </row>
    <row r="35" spans="2:9" s="95" customFormat="1" x14ac:dyDescent="0.3">
      <c r="B35" s="130" t="s">
        <v>165</v>
      </c>
      <c r="C35" s="93"/>
      <c r="D35" s="94"/>
      <c r="E35" s="94"/>
      <c r="F35" s="94"/>
      <c r="G35" s="94"/>
      <c r="H35" s="94"/>
    </row>
    <row r="36" spans="2:9" s="90" customFormat="1" ht="13.5" thickBot="1" x14ac:dyDescent="0.35">
      <c r="B36" s="89"/>
      <c r="C36" s="89"/>
      <c r="D36" s="89"/>
      <c r="E36" s="89"/>
      <c r="F36" s="89"/>
    </row>
    <row r="37" spans="2:9" x14ac:dyDescent="0.3">
      <c r="B37" s="15" t="s">
        <v>22</v>
      </c>
      <c r="C37" s="25" t="s">
        <v>82</v>
      </c>
      <c r="D37" s="25" t="s">
        <v>83</v>
      </c>
      <c r="E37" s="25" t="s">
        <v>84</v>
      </c>
      <c r="F37" s="25" t="s">
        <v>85</v>
      </c>
      <c r="G37" s="105" t="s">
        <v>86</v>
      </c>
      <c r="H37" s="35" t="s">
        <v>89</v>
      </c>
    </row>
    <row r="38" spans="2:9" x14ac:dyDescent="0.3">
      <c r="B38" s="11" t="s">
        <v>91</v>
      </c>
      <c r="C38" s="4">
        <f>C34</f>
        <v>0</v>
      </c>
      <c r="D38" s="4">
        <f t="shared" ref="D38:H38" si="7">D34</f>
        <v>22800</v>
      </c>
      <c r="E38" s="4">
        <f t="shared" si="7"/>
        <v>29250</v>
      </c>
      <c r="F38" s="4">
        <f t="shared" si="7"/>
        <v>31031.325000000012</v>
      </c>
      <c r="G38" s="4">
        <f t="shared" si="7"/>
        <v>32921.13269250001</v>
      </c>
      <c r="H38" s="62">
        <f t="shared" si="7"/>
        <v>34926.02967347324</v>
      </c>
    </row>
    <row r="39" spans="2:9" ht="13.5" thickBot="1" x14ac:dyDescent="0.35">
      <c r="B39" s="80" t="s">
        <v>90</v>
      </c>
      <c r="C39" s="78">
        <f>C38+NPV($H$20,D38:H38)</f>
        <v>118790.02212324244</v>
      </c>
      <c r="D39" s="10"/>
      <c r="E39" s="78"/>
      <c r="F39" s="10"/>
      <c r="G39" s="100"/>
      <c r="H39" s="39"/>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3740-64A2-48F9-A514-AC1CC5096312}">
  <sheetPr>
    <tabColor rgb="FFFF9999"/>
  </sheetPr>
  <dimension ref="B1:H31"/>
  <sheetViews>
    <sheetView showGridLines="0" zoomScaleNormal="100" workbookViewId="0"/>
  </sheetViews>
  <sheetFormatPr defaultRowHeight="13" x14ac:dyDescent="0.3"/>
  <cols>
    <col min="1" max="1" width="3.36328125" style="87" customWidth="1"/>
    <col min="2" max="2" width="69.6328125" style="89" customWidth="1"/>
    <col min="3" max="3" width="21.0898437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85" t="s">
        <v>80</v>
      </c>
      <c r="C2" s="85"/>
    </row>
    <row r="3" spans="2:8" x14ac:dyDescent="0.3">
      <c r="B3" s="88" t="s">
        <v>52</v>
      </c>
      <c r="C3" s="88"/>
    </row>
    <row r="4" spans="2:8" x14ac:dyDescent="0.3">
      <c r="B4" s="81" t="s">
        <v>73</v>
      </c>
      <c r="C4" s="81"/>
    </row>
    <row r="5" spans="2:8" x14ac:dyDescent="0.3">
      <c r="B5" s="81"/>
      <c r="C5" s="81"/>
    </row>
    <row r="6" spans="2:8" s="90" customFormat="1" x14ac:dyDescent="0.3">
      <c r="B6" s="85" t="s">
        <v>59</v>
      </c>
      <c r="C6" s="85"/>
      <c r="D6" s="89"/>
      <c r="E6" s="89"/>
      <c r="F6" s="89"/>
    </row>
    <row r="7" spans="2:8" s="90" customFormat="1" x14ac:dyDescent="0.3">
      <c r="B7" s="88" t="s">
        <v>95</v>
      </c>
      <c r="C7" s="88"/>
      <c r="D7" s="89"/>
      <c r="E7" s="89"/>
      <c r="F7" s="89"/>
    </row>
    <row r="8" spans="2:8" s="90" customFormat="1" ht="13.5" thickBot="1" x14ac:dyDescent="0.35">
      <c r="B8" s="88"/>
      <c r="C8" s="88"/>
      <c r="D8" s="89"/>
      <c r="E8" s="89"/>
      <c r="F8" s="89"/>
    </row>
    <row r="9" spans="2:8" s="90" customFormat="1" x14ac:dyDescent="0.3">
      <c r="B9" s="15" t="s">
        <v>21</v>
      </c>
      <c r="C9" s="25" t="s">
        <v>82</v>
      </c>
      <c r="D9" s="25" t="s">
        <v>83</v>
      </c>
      <c r="E9" s="25" t="s">
        <v>84</v>
      </c>
      <c r="F9" s="25" t="s">
        <v>85</v>
      </c>
      <c r="G9" s="105" t="s">
        <v>86</v>
      </c>
      <c r="H9" s="35" t="s">
        <v>89</v>
      </c>
    </row>
    <row r="10" spans="2:8" s="90" customFormat="1" ht="14.5" x14ac:dyDescent="0.35">
      <c r="B10" s="16"/>
      <c r="C10" s="14"/>
      <c r="D10" s="14"/>
      <c r="E10" s="14"/>
      <c r="F10" s="14"/>
      <c r="G10" s="2"/>
      <c r="H10" s="36"/>
    </row>
    <row r="11" spans="2:8" s="90" customFormat="1" ht="14.5" x14ac:dyDescent="0.35">
      <c r="B11" s="17" t="s">
        <v>2</v>
      </c>
      <c r="C11" s="43"/>
      <c r="D11" s="43"/>
      <c r="E11" s="43"/>
      <c r="F11" s="43"/>
      <c r="G11" s="103"/>
      <c r="H11" s="37"/>
    </row>
    <row r="12" spans="2:8" s="90" customFormat="1" x14ac:dyDescent="0.3">
      <c r="B12" s="16" t="s">
        <v>50</v>
      </c>
      <c r="C12" s="47">
        <v>0</v>
      </c>
      <c r="D12" s="47">
        <v>168000</v>
      </c>
      <c r="E12" s="47">
        <v>170000</v>
      </c>
      <c r="F12" s="66">
        <f t="shared" ref="F12:H13" si="0">E12*(1+F$19)</f>
        <v>175100</v>
      </c>
      <c r="G12" s="66">
        <f t="shared" si="0"/>
        <v>180353</v>
      </c>
      <c r="H12" s="68">
        <f t="shared" si="0"/>
        <v>185763.59</v>
      </c>
    </row>
    <row r="13" spans="2:8" s="90" customFormat="1" x14ac:dyDescent="0.3">
      <c r="B13" s="16" t="s">
        <v>70</v>
      </c>
      <c r="C13" s="47">
        <v>0</v>
      </c>
      <c r="D13" s="46">
        <v>95</v>
      </c>
      <c r="E13" s="46">
        <v>100</v>
      </c>
      <c r="F13" s="67">
        <f t="shared" si="0"/>
        <v>103</v>
      </c>
      <c r="G13" s="9">
        <f t="shared" si="0"/>
        <v>106.09</v>
      </c>
      <c r="H13" s="59">
        <f t="shared" si="0"/>
        <v>109.2727</v>
      </c>
    </row>
    <row r="14" spans="2:8" s="90" customFormat="1" ht="14.5" x14ac:dyDescent="0.35">
      <c r="B14" s="19"/>
      <c r="C14" s="44"/>
      <c r="D14" s="44"/>
      <c r="E14" s="44"/>
      <c r="F14" s="44"/>
      <c r="G14" s="2"/>
      <c r="H14" s="36"/>
    </row>
    <row r="15" spans="2:8" s="90" customFormat="1" ht="14.5" x14ac:dyDescent="0.35">
      <c r="B15" s="17" t="s">
        <v>41</v>
      </c>
      <c r="C15" s="43"/>
      <c r="D15" s="43"/>
      <c r="E15" s="43"/>
      <c r="F15" s="43"/>
      <c r="G15" s="103"/>
      <c r="H15" s="37"/>
    </row>
    <row r="16" spans="2:8" s="90" customFormat="1" ht="25" x14ac:dyDescent="0.3">
      <c r="B16" s="20" t="s">
        <v>96</v>
      </c>
      <c r="C16" s="52">
        <v>0</v>
      </c>
      <c r="D16" s="52">
        <v>110</v>
      </c>
      <c r="E16" s="52">
        <v>130</v>
      </c>
      <c r="F16" s="9">
        <f>E16*(1+F$19)</f>
        <v>133.9</v>
      </c>
      <c r="G16" s="9">
        <f>F16*(1+G$19)</f>
        <v>137.917</v>
      </c>
      <c r="H16" s="59">
        <f>G16*(1+H$19)</f>
        <v>142.05450999999999</v>
      </c>
    </row>
    <row r="17" spans="2:8" s="90" customFormat="1" ht="14.5" x14ac:dyDescent="0.35">
      <c r="B17" s="18"/>
      <c r="C17" s="46"/>
      <c r="D17" s="46"/>
      <c r="E17" s="46"/>
      <c r="F17" s="46"/>
      <c r="G17" s="2"/>
      <c r="H17" s="36"/>
    </row>
    <row r="18" spans="2:8" s="90" customFormat="1" ht="14.5" x14ac:dyDescent="0.35">
      <c r="B18" s="17" t="s">
        <v>66</v>
      </c>
      <c r="C18" s="26"/>
      <c r="D18" s="26"/>
      <c r="E18" s="26"/>
      <c r="F18" s="26"/>
      <c r="G18" s="103"/>
      <c r="H18" s="37"/>
    </row>
    <row r="19" spans="2:8" s="90" customFormat="1" x14ac:dyDescent="0.3">
      <c r="B19" s="63" t="s">
        <v>35</v>
      </c>
      <c r="C19" s="27"/>
      <c r="D19" s="51">
        <v>0.03</v>
      </c>
      <c r="E19" s="51">
        <v>0.03</v>
      </c>
      <c r="F19" s="51">
        <v>0.03</v>
      </c>
      <c r="G19" s="51">
        <v>0.03</v>
      </c>
      <c r="H19" s="65">
        <v>0.03</v>
      </c>
    </row>
    <row r="20" spans="2:8" s="90" customFormat="1" ht="16" customHeight="1" thickBot="1" x14ac:dyDescent="0.35">
      <c r="B20" s="21" t="s">
        <v>15</v>
      </c>
      <c r="C20" s="28"/>
      <c r="D20" s="53"/>
      <c r="E20" s="53"/>
      <c r="F20" s="53"/>
      <c r="G20" s="53"/>
      <c r="H20" s="82">
        <v>0.08</v>
      </c>
    </row>
    <row r="21" spans="2:8" s="90" customFormat="1" ht="13.5" thickBot="1" x14ac:dyDescent="0.35">
      <c r="B21" s="88"/>
      <c r="C21" s="88"/>
      <c r="D21" s="89"/>
      <c r="E21" s="89"/>
      <c r="F21" s="89"/>
    </row>
    <row r="22" spans="2:8" ht="32" customHeight="1" x14ac:dyDescent="0.3">
      <c r="B22" s="40" t="s">
        <v>77</v>
      </c>
      <c r="C22" s="25" t="s">
        <v>82</v>
      </c>
      <c r="D22" s="25" t="s">
        <v>83</v>
      </c>
      <c r="E22" s="25" t="s">
        <v>84</v>
      </c>
      <c r="F22" s="25" t="s">
        <v>85</v>
      </c>
      <c r="G22" s="25" t="s">
        <v>86</v>
      </c>
      <c r="H22" s="41" t="s">
        <v>89</v>
      </c>
    </row>
    <row r="23" spans="2:8" ht="20" customHeight="1" x14ac:dyDescent="0.3">
      <c r="B23" s="20" t="s">
        <v>65</v>
      </c>
      <c r="C23" s="6">
        <f>IFERROR('4. Lower cust acq cost (resale)'!C12/'4. Lower cust acq cost (resale)'!C13,0)</f>
        <v>0</v>
      </c>
      <c r="D23" s="6">
        <f>IFERROR('4. Lower cust acq cost (resale)'!D12/'4. Lower cust acq cost (resale)'!D13,0)</f>
        <v>1768.421052631579</v>
      </c>
      <c r="E23" s="6">
        <f>IFERROR('4. Lower cust acq cost (resale)'!E12/'4. Lower cust acq cost (resale)'!E13,0)</f>
        <v>1700</v>
      </c>
      <c r="F23" s="6">
        <f>IFERROR('4. Lower cust acq cost (resale)'!F12/'4. Lower cust acq cost (resale)'!F13,0)</f>
        <v>1700</v>
      </c>
      <c r="G23" s="6">
        <f>IFERROR('4. Lower cust acq cost (resale)'!G12/'4. Lower cust acq cost (resale)'!G13,0)</f>
        <v>1700</v>
      </c>
      <c r="H23" s="54">
        <f>IFERROR('4. Lower cust acq cost (resale)'!H12/'4. Lower cust acq cost (resale)'!H13,0)</f>
        <v>1700</v>
      </c>
    </row>
    <row r="24" spans="2:8" ht="24" customHeight="1" x14ac:dyDescent="0.3">
      <c r="B24" s="20" t="s">
        <v>76</v>
      </c>
      <c r="C24" s="107">
        <f>'4. Lower cust acq cost (resale)'!C16</f>
        <v>0</v>
      </c>
      <c r="D24" s="9">
        <f>'4. Lower cust acq cost (resale)'!D16</f>
        <v>110</v>
      </c>
      <c r="E24" s="32">
        <f>'4. Lower cust acq cost (resale)'!E16</f>
        <v>130</v>
      </c>
      <c r="F24" s="32">
        <f>'4. Lower cust acq cost (resale)'!F16</f>
        <v>133.9</v>
      </c>
      <c r="G24" s="32">
        <f>'4. Lower cust acq cost (resale)'!G16</f>
        <v>137.917</v>
      </c>
      <c r="H24" s="56">
        <f>'4. Lower cust acq cost (resale)'!H16</f>
        <v>142.05450999999999</v>
      </c>
    </row>
    <row r="25" spans="2:8" ht="18.5" customHeight="1" x14ac:dyDescent="0.3">
      <c r="B25" s="108" t="s">
        <v>97</v>
      </c>
      <c r="C25" s="107">
        <f>C23*C24</f>
        <v>0</v>
      </c>
      <c r="D25" s="107">
        <f t="shared" ref="D25:H25" si="1">D23*D24</f>
        <v>194526.31578947368</v>
      </c>
      <c r="E25" s="107">
        <f t="shared" si="1"/>
        <v>221000</v>
      </c>
      <c r="F25" s="107">
        <f t="shared" si="1"/>
        <v>227630</v>
      </c>
      <c r="G25" s="107">
        <f t="shared" si="1"/>
        <v>234458.9</v>
      </c>
      <c r="H25" s="109">
        <f t="shared" si="1"/>
        <v>241492.66699999999</v>
      </c>
    </row>
    <row r="26" spans="2:8" ht="16.5" customHeight="1" thickBot="1" x14ac:dyDescent="0.35">
      <c r="B26" s="7" t="s">
        <v>244</v>
      </c>
      <c r="C26" s="8">
        <f>C25</f>
        <v>0</v>
      </c>
      <c r="D26" s="8">
        <f t="shared" ref="D26:H26" si="2">D25</f>
        <v>194526.31578947368</v>
      </c>
      <c r="E26" s="8">
        <f t="shared" si="2"/>
        <v>221000</v>
      </c>
      <c r="F26" s="8">
        <f t="shared" si="2"/>
        <v>227630</v>
      </c>
      <c r="G26" s="8">
        <f t="shared" si="2"/>
        <v>234458.9</v>
      </c>
      <c r="H26" s="55">
        <f t="shared" si="2"/>
        <v>241492.66699999999</v>
      </c>
    </row>
    <row r="27" spans="2:8" x14ac:dyDescent="0.3">
      <c r="B27" s="87"/>
      <c r="C27" s="87"/>
      <c r="D27" s="87"/>
      <c r="E27" s="87"/>
      <c r="F27" s="87"/>
    </row>
    <row r="28" spans="2:8" s="90" customFormat="1" ht="13.5" thickBot="1" x14ac:dyDescent="0.35">
      <c r="B28" s="89"/>
      <c r="C28" s="89"/>
      <c r="D28" s="89"/>
      <c r="E28" s="89"/>
      <c r="F28" s="89"/>
    </row>
    <row r="29" spans="2:8" x14ac:dyDescent="0.3">
      <c r="B29" s="15" t="s">
        <v>22</v>
      </c>
      <c r="C29" s="25" t="s">
        <v>82</v>
      </c>
      <c r="D29" s="25" t="s">
        <v>83</v>
      </c>
      <c r="E29" s="25" t="s">
        <v>84</v>
      </c>
      <c r="F29" s="25" t="s">
        <v>85</v>
      </c>
      <c r="G29" s="105" t="s">
        <v>86</v>
      </c>
      <c r="H29" s="35" t="s">
        <v>89</v>
      </c>
    </row>
    <row r="30" spans="2:8" x14ac:dyDescent="0.3">
      <c r="B30" s="11" t="s">
        <v>13</v>
      </c>
      <c r="C30" s="4">
        <f t="shared" ref="C30:H30" si="3">C26</f>
        <v>0</v>
      </c>
      <c r="D30" s="4">
        <f t="shared" si="3"/>
        <v>194526.31578947368</v>
      </c>
      <c r="E30" s="4">
        <f t="shared" si="3"/>
        <v>221000</v>
      </c>
      <c r="F30" s="4">
        <f t="shared" si="3"/>
        <v>227630</v>
      </c>
      <c r="G30" s="4">
        <f t="shared" si="3"/>
        <v>234458.9</v>
      </c>
      <c r="H30" s="62">
        <f t="shared" si="3"/>
        <v>241492.66699999999</v>
      </c>
    </row>
    <row r="31" spans="2:8" ht="13.5" thickBot="1" x14ac:dyDescent="0.35">
      <c r="B31" s="80" t="s">
        <v>90</v>
      </c>
      <c r="C31" s="78">
        <f>C30+NPV($H$20,D30:H30)</f>
        <v>886979.0134953286</v>
      </c>
      <c r="D31" s="10"/>
      <c r="E31" s="78"/>
      <c r="F31" s="10"/>
      <c r="G31" s="100"/>
      <c r="H31" s="39"/>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28D1-E431-476C-9408-A20E844D3BF0}">
  <sheetPr>
    <tabColor rgb="FFFF9999"/>
  </sheetPr>
  <dimension ref="B1:J28"/>
  <sheetViews>
    <sheetView showGridLines="0" zoomScaleNormal="100" workbookViewId="0"/>
  </sheetViews>
  <sheetFormatPr defaultRowHeight="13" x14ac:dyDescent="0.3"/>
  <cols>
    <col min="1" max="1" width="3.36328125" style="87" customWidth="1"/>
    <col min="2" max="2" width="69.6328125" style="89" customWidth="1"/>
    <col min="3" max="3" width="27.90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85" t="s">
        <v>80</v>
      </c>
      <c r="C2" s="85"/>
    </row>
    <row r="3" spans="2:8" x14ac:dyDescent="0.3">
      <c r="B3" s="88" t="s">
        <v>52</v>
      </c>
      <c r="C3" s="88"/>
    </row>
    <row r="4" spans="2:8" x14ac:dyDescent="0.3">
      <c r="B4" s="81" t="s">
        <v>73</v>
      </c>
      <c r="C4" s="81"/>
    </row>
    <row r="5" spans="2:8" x14ac:dyDescent="0.3">
      <c r="B5" s="81"/>
      <c r="C5" s="81"/>
    </row>
    <row r="6" spans="2:8" s="90" customFormat="1" x14ac:dyDescent="0.3">
      <c r="B6" s="85" t="s">
        <v>59</v>
      </c>
      <c r="C6" s="85"/>
      <c r="D6" s="89"/>
      <c r="E6" s="89"/>
      <c r="F6" s="89"/>
    </row>
    <row r="7" spans="2:8" s="90" customFormat="1" x14ac:dyDescent="0.3">
      <c r="B7" s="88" t="s">
        <v>63</v>
      </c>
      <c r="C7" s="88"/>
      <c r="D7" s="89"/>
      <c r="E7" s="89"/>
      <c r="F7" s="89"/>
    </row>
    <row r="8" spans="2:8" s="90" customFormat="1" ht="13.5" thickBot="1" x14ac:dyDescent="0.35">
      <c r="B8" s="88"/>
      <c r="C8" s="88"/>
      <c r="D8" s="89"/>
      <c r="E8" s="89"/>
      <c r="F8" s="89"/>
    </row>
    <row r="9" spans="2:8" s="90" customFormat="1" x14ac:dyDescent="0.3">
      <c r="B9" s="15" t="s">
        <v>21</v>
      </c>
      <c r="C9" s="25" t="s">
        <v>82</v>
      </c>
      <c r="D9" s="25" t="s">
        <v>83</v>
      </c>
      <c r="E9" s="25" t="s">
        <v>84</v>
      </c>
      <c r="F9" s="25" t="s">
        <v>85</v>
      </c>
      <c r="G9" s="105" t="s">
        <v>86</v>
      </c>
      <c r="H9" s="35" t="s">
        <v>89</v>
      </c>
    </row>
    <row r="10" spans="2:8" s="90" customFormat="1" ht="14.5" x14ac:dyDescent="0.35">
      <c r="B10" s="19"/>
      <c r="C10" s="44"/>
      <c r="D10" s="44"/>
      <c r="E10" s="44"/>
      <c r="F10" s="44"/>
      <c r="G10" s="2"/>
      <c r="H10" s="36"/>
    </row>
    <row r="11" spans="2:8" s="90" customFormat="1" ht="14.5" x14ac:dyDescent="0.35">
      <c r="B11" s="17" t="s">
        <v>4</v>
      </c>
      <c r="C11" s="43"/>
      <c r="D11" s="43"/>
      <c r="E11" s="43"/>
      <c r="F11" s="43"/>
      <c r="G11" s="103"/>
      <c r="H11" s="37"/>
    </row>
    <row r="12" spans="2:8" s="90" customFormat="1" x14ac:dyDescent="0.3">
      <c r="B12" s="18" t="s">
        <v>24</v>
      </c>
      <c r="C12" s="49">
        <v>0</v>
      </c>
      <c r="D12" s="49">
        <v>1150000</v>
      </c>
      <c r="E12" s="49">
        <v>1200000</v>
      </c>
      <c r="F12" s="66">
        <f t="shared" ref="F12:H14" si="0">E12*(1+F$17)</f>
        <v>1236000</v>
      </c>
      <c r="G12" s="66">
        <f t="shared" si="0"/>
        <v>1273080</v>
      </c>
      <c r="H12" s="68">
        <f t="shared" si="0"/>
        <v>1311272.4000000001</v>
      </c>
    </row>
    <row r="13" spans="2:8" s="90" customFormat="1" x14ac:dyDescent="0.3">
      <c r="B13" s="18" t="s">
        <v>23</v>
      </c>
      <c r="C13" s="48">
        <v>0</v>
      </c>
      <c r="D13" s="48">
        <v>75</v>
      </c>
      <c r="E13" s="48">
        <v>77</v>
      </c>
      <c r="F13" s="9">
        <f t="shared" si="0"/>
        <v>79.31</v>
      </c>
      <c r="G13" s="9">
        <f t="shared" si="0"/>
        <v>81.689300000000003</v>
      </c>
      <c r="H13" s="59">
        <f t="shared" si="0"/>
        <v>84.139979000000011</v>
      </c>
    </row>
    <row r="14" spans="2:8" s="90" customFormat="1" x14ac:dyDescent="0.3">
      <c r="B14" s="18" t="s">
        <v>74</v>
      </c>
      <c r="C14" s="48">
        <v>0</v>
      </c>
      <c r="D14" s="48">
        <v>5</v>
      </c>
      <c r="E14" s="48">
        <v>7</v>
      </c>
      <c r="F14" s="9">
        <f t="shared" si="0"/>
        <v>7.21</v>
      </c>
      <c r="G14" s="9">
        <f t="shared" si="0"/>
        <v>7.4263000000000003</v>
      </c>
      <c r="H14" s="59">
        <f t="shared" si="0"/>
        <v>7.6490890000000009</v>
      </c>
    </row>
    <row r="15" spans="2:8" s="90" customFormat="1" ht="14.5" x14ac:dyDescent="0.35">
      <c r="B15" s="18"/>
      <c r="C15" s="46"/>
      <c r="D15" s="46"/>
      <c r="E15" s="46"/>
      <c r="F15" s="46"/>
      <c r="G15" s="2"/>
      <c r="H15" s="36"/>
    </row>
    <row r="16" spans="2:8" s="90" customFormat="1" ht="14.5" x14ac:dyDescent="0.35">
      <c r="B16" s="17" t="s">
        <v>66</v>
      </c>
      <c r="C16" s="26"/>
      <c r="D16" s="26"/>
      <c r="E16" s="26"/>
      <c r="F16" s="26"/>
      <c r="G16" s="103"/>
      <c r="H16" s="37"/>
    </row>
    <row r="17" spans="2:10" s="90" customFormat="1" x14ac:dyDescent="0.3">
      <c r="B17" s="63" t="s">
        <v>35</v>
      </c>
      <c r="C17" s="27"/>
      <c r="D17" s="51">
        <v>0.03</v>
      </c>
      <c r="E17" s="51">
        <v>0.03</v>
      </c>
      <c r="F17" s="51">
        <v>0.03</v>
      </c>
      <c r="G17" s="51">
        <v>0.03</v>
      </c>
      <c r="H17" s="65">
        <v>0.03</v>
      </c>
    </row>
    <row r="18" spans="2:10" s="90" customFormat="1" ht="16" customHeight="1" thickBot="1" x14ac:dyDescent="0.35">
      <c r="B18" s="21" t="s">
        <v>15</v>
      </c>
      <c r="C18" s="28"/>
      <c r="D18" s="53"/>
      <c r="E18" s="53"/>
      <c r="F18" s="53"/>
      <c r="G18" s="53"/>
      <c r="H18" s="82">
        <v>0.08</v>
      </c>
    </row>
    <row r="19" spans="2:10" s="90" customFormat="1" ht="13.5" thickBot="1" x14ac:dyDescent="0.35">
      <c r="B19" s="88"/>
      <c r="C19" s="88"/>
      <c r="D19" s="89"/>
      <c r="E19" s="89"/>
      <c r="F19" s="89"/>
    </row>
    <row r="20" spans="2:10" x14ac:dyDescent="0.3">
      <c r="B20" s="15" t="s">
        <v>71</v>
      </c>
      <c r="C20" s="25" t="s">
        <v>82</v>
      </c>
      <c r="D20" s="25" t="s">
        <v>83</v>
      </c>
      <c r="E20" s="25" t="s">
        <v>84</v>
      </c>
      <c r="F20" s="25" t="s">
        <v>85</v>
      </c>
      <c r="G20" s="105" t="s">
        <v>86</v>
      </c>
      <c r="H20" s="35" t="s">
        <v>89</v>
      </c>
    </row>
    <row r="21" spans="2:10" ht="17" customHeight="1" x14ac:dyDescent="0.3">
      <c r="B21" s="23" t="s">
        <v>6</v>
      </c>
      <c r="C21" s="31">
        <f>IFERROR('5. Unpaid earned media (resale)'!C12/'5. Unpaid earned media (resale)'!C13,0)</f>
        <v>0</v>
      </c>
      <c r="D21" s="31">
        <f>IFERROR('5. Unpaid earned media (resale)'!D12/'5. Unpaid earned media (resale)'!D13,0)</f>
        <v>15333.333333333334</v>
      </c>
      <c r="E21" s="31">
        <f>IFERROR('5. Unpaid earned media (resale)'!E12/'5. Unpaid earned media (resale)'!E13,0)</f>
        <v>15584.415584415585</v>
      </c>
      <c r="F21" s="31">
        <f>IFERROR('5. Unpaid earned media (resale)'!F12/'5. Unpaid earned media (resale)'!F13,0)</f>
        <v>15584.415584415585</v>
      </c>
      <c r="G21" s="31">
        <f>IFERROR('5. Unpaid earned media (resale)'!G12/'5. Unpaid earned media (resale)'!G13,0)</f>
        <v>15584.415584415583</v>
      </c>
      <c r="H21" s="60">
        <f>IFERROR('5. Unpaid earned media (resale)'!H12/'5. Unpaid earned media (resale)'!H13,0)</f>
        <v>15584.415584415585</v>
      </c>
    </row>
    <row r="22" spans="2:10" ht="16.5" customHeight="1" x14ac:dyDescent="0.3">
      <c r="B22" s="18" t="s">
        <v>74</v>
      </c>
      <c r="C22" s="9">
        <f>'5. Unpaid earned media (resale)'!C14</f>
        <v>0</v>
      </c>
      <c r="D22" s="9">
        <f>'5. Unpaid earned media (resale)'!D14</f>
        <v>5</v>
      </c>
      <c r="E22" s="9">
        <f>'5. Unpaid earned media (resale)'!E14</f>
        <v>7</v>
      </c>
      <c r="F22" s="9">
        <f>'5. Unpaid earned media (resale)'!F14</f>
        <v>7.21</v>
      </c>
      <c r="G22" s="9">
        <f>'5. Unpaid earned media (resale)'!G14</f>
        <v>7.4263000000000003</v>
      </c>
      <c r="H22" s="59">
        <f>'5. Unpaid earned media (resale)'!H14</f>
        <v>7.6490890000000009</v>
      </c>
    </row>
    <row r="23" spans="2:10" ht="20" customHeight="1" x14ac:dyDescent="0.3">
      <c r="B23" s="108" t="s">
        <v>98</v>
      </c>
      <c r="C23" s="31">
        <f t="shared" ref="C23:H23" si="1">C22*C21</f>
        <v>0</v>
      </c>
      <c r="D23" s="31">
        <f t="shared" si="1"/>
        <v>76666.666666666672</v>
      </c>
      <c r="E23" s="31">
        <f t="shared" si="1"/>
        <v>109090.90909090909</v>
      </c>
      <c r="F23" s="31">
        <f t="shared" si="1"/>
        <v>112363.63636363637</v>
      </c>
      <c r="G23" s="31">
        <f t="shared" si="1"/>
        <v>115734.54545454546</v>
      </c>
      <c r="H23" s="60">
        <f t="shared" si="1"/>
        <v>119206.58181818183</v>
      </c>
    </row>
    <row r="24" spans="2:10" ht="16" customHeight="1" thickBot="1" x14ac:dyDescent="0.35">
      <c r="B24" s="7" t="s">
        <v>245</v>
      </c>
      <c r="C24" s="10">
        <f>C23</f>
        <v>0</v>
      </c>
      <c r="D24" s="10">
        <f t="shared" ref="D24:H24" si="2">D23</f>
        <v>76666.666666666672</v>
      </c>
      <c r="E24" s="10">
        <f t="shared" si="2"/>
        <v>109090.90909090909</v>
      </c>
      <c r="F24" s="10">
        <f t="shared" si="2"/>
        <v>112363.63636363637</v>
      </c>
      <c r="G24" s="10">
        <f>G23</f>
        <v>115734.54545454546</v>
      </c>
      <c r="H24" s="61">
        <f t="shared" si="2"/>
        <v>119206.58181818183</v>
      </c>
      <c r="I24" s="96"/>
      <c r="J24" s="97"/>
    </row>
    <row r="25" spans="2:10" s="90" customFormat="1" ht="13.5" thickBot="1" x14ac:dyDescent="0.35">
      <c r="B25" s="89"/>
      <c r="C25" s="89"/>
      <c r="D25" s="89"/>
      <c r="E25" s="89"/>
      <c r="F25" s="89"/>
    </row>
    <row r="26" spans="2:10" x14ac:dyDescent="0.3">
      <c r="B26" s="15" t="s">
        <v>22</v>
      </c>
      <c r="C26" s="25" t="s">
        <v>82</v>
      </c>
      <c r="D26" s="25" t="s">
        <v>83</v>
      </c>
      <c r="E26" s="25" t="s">
        <v>84</v>
      </c>
      <c r="F26" s="25" t="s">
        <v>85</v>
      </c>
      <c r="G26" s="105" t="s">
        <v>86</v>
      </c>
      <c r="H26" s="35" t="s">
        <v>89</v>
      </c>
    </row>
    <row r="27" spans="2:10" x14ac:dyDescent="0.3">
      <c r="B27" s="11" t="s">
        <v>13</v>
      </c>
      <c r="C27" s="4">
        <f>C24</f>
        <v>0</v>
      </c>
      <c r="D27" s="4">
        <f t="shared" ref="D27:H27" si="3">D24</f>
        <v>76666.666666666672</v>
      </c>
      <c r="E27" s="4">
        <f t="shared" si="3"/>
        <v>109090.90909090909</v>
      </c>
      <c r="F27" s="4">
        <f t="shared" si="3"/>
        <v>112363.63636363637</v>
      </c>
      <c r="G27" s="4">
        <f t="shared" si="3"/>
        <v>115734.54545454546</v>
      </c>
      <c r="H27" s="4">
        <f t="shared" si="3"/>
        <v>119206.58181818183</v>
      </c>
    </row>
    <row r="28" spans="2:10" ht="13.5" thickBot="1" x14ac:dyDescent="0.35">
      <c r="B28" s="80" t="s">
        <v>90</v>
      </c>
      <c r="C28" s="78">
        <f>C27+NPV($H$18,D27:H27)</f>
        <v>419911.74536056048</v>
      </c>
      <c r="D28" s="10"/>
      <c r="E28" s="78"/>
      <c r="F28" s="10"/>
      <c r="G28" s="100"/>
      <c r="H28" s="39"/>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EBE3-4A8B-447F-9B78-C5B202FB3707}">
  <sheetPr>
    <tabColor rgb="FFFF9999"/>
  </sheetPr>
  <dimension ref="B1:I39"/>
  <sheetViews>
    <sheetView showGridLines="0" zoomScaleNormal="100" workbookViewId="0"/>
  </sheetViews>
  <sheetFormatPr defaultRowHeight="13" x14ac:dyDescent="0.3"/>
  <cols>
    <col min="1" max="1" width="3.36328125" style="87" customWidth="1"/>
    <col min="2" max="2" width="69.6328125" style="89" customWidth="1"/>
    <col min="3" max="3" width="19.7265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85" t="s">
        <v>80</v>
      </c>
      <c r="C2" s="85"/>
    </row>
    <row r="3" spans="2:8" x14ac:dyDescent="0.3">
      <c r="B3" s="88" t="s">
        <v>107</v>
      </c>
      <c r="C3" s="88"/>
    </row>
    <row r="4" spans="2:8" x14ac:dyDescent="0.3">
      <c r="B4" s="81" t="s">
        <v>73</v>
      </c>
      <c r="C4" s="81"/>
    </row>
    <row r="5" spans="2:8" x14ac:dyDescent="0.3">
      <c r="B5" s="81"/>
      <c r="C5" s="81"/>
    </row>
    <row r="6" spans="2:8" s="90" customFormat="1" x14ac:dyDescent="0.3">
      <c r="B6" s="85" t="s">
        <v>99</v>
      </c>
      <c r="C6" s="85"/>
      <c r="D6" s="89"/>
      <c r="E6" s="89"/>
      <c r="F6" s="89"/>
    </row>
    <row r="7" spans="2:8" s="90" customFormat="1" x14ac:dyDescent="0.3">
      <c r="B7" s="88" t="s">
        <v>214</v>
      </c>
      <c r="C7" s="88"/>
      <c r="D7" s="89"/>
      <c r="E7" s="89"/>
      <c r="F7" s="89"/>
    </row>
    <row r="8" spans="2:8" s="90" customFormat="1" ht="13.5" thickBot="1" x14ac:dyDescent="0.35">
      <c r="B8" s="88"/>
      <c r="C8" s="88"/>
      <c r="D8" s="89"/>
      <c r="E8" s="89"/>
      <c r="F8" s="89"/>
    </row>
    <row r="9" spans="2:8" s="90" customFormat="1" x14ac:dyDescent="0.3">
      <c r="B9" s="15" t="s">
        <v>21</v>
      </c>
      <c r="C9" s="25" t="s">
        <v>82</v>
      </c>
      <c r="D9" s="25" t="s">
        <v>83</v>
      </c>
      <c r="E9" s="25" t="s">
        <v>84</v>
      </c>
      <c r="F9" s="25" t="s">
        <v>85</v>
      </c>
      <c r="G9" s="105" t="s">
        <v>86</v>
      </c>
      <c r="H9" s="35" t="s">
        <v>89</v>
      </c>
    </row>
    <row r="10" spans="2:8" s="90" customFormat="1" ht="14.5" x14ac:dyDescent="0.35">
      <c r="B10" s="19"/>
      <c r="C10" s="44"/>
      <c r="D10" s="44"/>
      <c r="E10" s="44"/>
      <c r="F10" s="44"/>
      <c r="G10" s="2"/>
      <c r="H10" s="36"/>
    </row>
    <row r="11" spans="2:8" s="90" customFormat="1" ht="14.5" x14ac:dyDescent="0.35">
      <c r="B11" s="17" t="s">
        <v>41</v>
      </c>
      <c r="C11" s="43"/>
      <c r="D11" s="43"/>
      <c r="E11" s="43"/>
      <c r="F11" s="43"/>
      <c r="G11" s="103"/>
      <c r="H11" s="37"/>
    </row>
    <row r="12" spans="2:8" s="90" customFormat="1" x14ac:dyDescent="0.3">
      <c r="B12" s="18" t="s">
        <v>169</v>
      </c>
      <c r="C12" s="52">
        <v>0</v>
      </c>
      <c r="D12" s="52">
        <v>400</v>
      </c>
      <c r="E12" s="52">
        <v>450</v>
      </c>
      <c r="F12" s="9">
        <f t="shared" ref="F12:H16" si="0">E12*(1+F$19)</f>
        <v>463.5</v>
      </c>
      <c r="G12" s="9">
        <f t="shared" si="0"/>
        <v>477.40500000000003</v>
      </c>
      <c r="H12" s="59">
        <f t="shared" si="0"/>
        <v>491.72715000000005</v>
      </c>
    </row>
    <row r="13" spans="2:8" s="90" customFormat="1" x14ac:dyDescent="0.3">
      <c r="B13" s="18" t="s">
        <v>49</v>
      </c>
      <c r="C13" s="49">
        <v>0</v>
      </c>
      <c r="D13" s="49">
        <v>50</v>
      </c>
      <c r="E13" s="49">
        <v>60</v>
      </c>
      <c r="F13" s="66">
        <f t="shared" si="0"/>
        <v>61.800000000000004</v>
      </c>
      <c r="G13" s="66">
        <f t="shared" si="0"/>
        <v>63.654000000000003</v>
      </c>
      <c r="H13" s="68">
        <f t="shared" si="0"/>
        <v>65.56362</v>
      </c>
    </row>
    <row r="14" spans="2:8" s="90" customFormat="1" x14ac:dyDescent="0.3">
      <c r="B14" s="18" t="s">
        <v>111</v>
      </c>
      <c r="C14" s="45">
        <v>0</v>
      </c>
      <c r="D14" s="45">
        <v>400</v>
      </c>
      <c r="E14" s="45">
        <v>450</v>
      </c>
      <c r="F14" s="32">
        <f t="shared" si="0"/>
        <v>463.5</v>
      </c>
      <c r="G14" s="32">
        <f t="shared" si="0"/>
        <v>477.40500000000003</v>
      </c>
      <c r="H14" s="56">
        <f t="shared" si="0"/>
        <v>491.72715000000005</v>
      </c>
    </row>
    <row r="15" spans="2:8" s="90" customFormat="1" x14ac:dyDescent="0.3">
      <c r="B15" s="18" t="s">
        <v>170</v>
      </c>
      <c r="C15" s="42">
        <v>0</v>
      </c>
      <c r="D15" s="42">
        <v>30</v>
      </c>
      <c r="E15" s="42">
        <v>35</v>
      </c>
      <c r="F15" s="66">
        <f t="shared" si="0"/>
        <v>36.050000000000004</v>
      </c>
      <c r="G15" s="66">
        <f t="shared" si="0"/>
        <v>37.131500000000003</v>
      </c>
      <c r="H15" s="68">
        <f t="shared" si="0"/>
        <v>38.245445000000004</v>
      </c>
    </row>
    <row r="16" spans="2:8" s="90" customFormat="1" x14ac:dyDescent="0.3">
      <c r="B16" s="18" t="s">
        <v>101</v>
      </c>
      <c r="C16" s="42">
        <v>0</v>
      </c>
      <c r="D16" s="42">
        <v>0</v>
      </c>
      <c r="E16" s="42">
        <v>0</v>
      </c>
      <c r="F16" s="66">
        <f t="shared" si="0"/>
        <v>0</v>
      </c>
      <c r="G16" s="66">
        <f t="shared" si="0"/>
        <v>0</v>
      </c>
      <c r="H16" s="68">
        <f t="shared" si="0"/>
        <v>0</v>
      </c>
    </row>
    <row r="17" spans="2:8" s="90" customFormat="1" ht="14.5" x14ac:dyDescent="0.35">
      <c r="B17" s="18"/>
      <c r="C17" s="46"/>
      <c r="D17" s="46"/>
      <c r="E17" s="46"/>
      <c r="F17" s="46"/>
      <c r="G17" s="2"/>
      <c r="H17" s="36"/>
    </row>
    <row r="18" spans="2:8" s="90" customFormat="1" ht="14.5" x14ac:dyDescent="0.35">
      <c r="B18" s="17" t="s">
        <v>66</v>
      </c>
      <c r="C18" s="26"/>
      <c r="D18" s="26"/>
      <c r="E18" s="26"/>
      <c r="F18" s="26"/>
      <c r="G18" s="103"/>
      <c r="H18" s="37"/>
    </row>
    <row r="19" spans="2:8" s="90" customFormat="1" x14ac:dyDescent="0.3">
      <c r="B19" s="63" t="s">
        <v>35</v>
      </c>
      <c r="C19" s="27"/>
      <c r="D19" s="51">
        <v>0.03</v>
      </c>
      <c r="E19" s="51">
        <v>0.03</v>
      </c>
      <c r="F19" s="51">
        <v>0.03</v>
      </c>
      <c r="G19" s="51">
        <v>0.03</v>
      </c>
      <c r="H19" s="65">
        <v>0.03</v>
      </c>
    </row>
    <row r="20" spans="2:8" s="90" customFormat="1" ht="16" customHeight="1" thickBot="1" x14ac:dyDescent="0.35">
      <c r="B20" s="21" t="s">
        <v>15</v>
      </c>
      <c r="C20" s="28"/>
      <c r="D20" s="53"/>
      <c r="E20" s="53"/>
      <c r="F20" s="53"/>
      <c r="G20" s="53"/>
      <c r="H20" s="82">
        <v>0.08</v>
      </c>
    </row>
    <row r="21" spans="2:8" s="90" customFormat="1" ht="18" customHeight="1" thickBot="1" x14ac:dyDescent="0.35">
      <c r="B21" s="88"/>
      <c r="C21" s="88"/>
      <c r="D21" s="89"/>
      <c r="E21" s="89"/>
      <c r="F21" s="89"/>
    </row>
    <row r="22" spans="2:8" ht="26" x14ac:dyDescent="0.3">
      <c r="B22" s="40" t="s">
        <v>100</v>
      </c>
      <c r="C22" s="25" t="s">
        <v>82</v>
      </c>
      <c r="D22" s="25" t="s">
        <v>83</v>
      </c>
      <c r="E22" s="25" t="s">
        <v>84</v>
      </c>
      <c r="F22" s="25" t="s">
        <v>85</v>
      </c>
      <c r="G22" s="25" t="s">
        <v>86</v>
      </c>
      <c r="H22" s="41" t="s">
        <v>89</v>
      </c>
    </row>
    <row r="23" spans="2:8" x14ac:dyDescent="0.3">
      <c r="B23" s="5" t="s">
        <v>0</v>
      </c>
      <c r="C23" s="99"/>
      <c r="D23" s="89"/>
      <c r="E23" s="89"/>
      <c r="F23" s="89"/>
      <c r="G23" s="90"/>
      <c r="H23" s="91"/>
    </row>
    <row r="24" spans="2:8" ht="16" customHeight="1" x14ac:dyDescent="0.3">
      <c r="B24" s="79" t="s">
        <v>169</v>
      </c>
      <c r="C24" s="32">
        <f>'6.New purchase sales(take-back)'!C12</f>
        <v>0</v>
      </c>
      <c r="D24" s="32">
        <f>'6.New purchase sales(take-back)'!D12</f>
        <v>400</v>
      </c>
      <c r="E24" s="32">
        <f>'6.New purchase sales(take-back)'!E12</f>
        <v>450</v>
      </c>
      <c r="F24" s="32">
        <f>'6.New purchase sales(take-back)'!F12</f>
        <v>463.5</v>
      </c>
      <c r="G24" s="32">
        <f>'6.New purchase sales(take-back)'!G12</f>
        <v>477.40500000000003</v>
      </c>
      <c r="H24" s="56">
        <f>'6.New purchase sales(take-back)'!H12</f>
        <v>491.72715000000005</v>
      </c>
    </row>
    <row r="25" spans="2:8" ht="14" customHeight="1" x14ac:dyDescent="0.3">
      <c r="B25" s="79" t="s">
        <v>49</v>
      </c>
      <c r="C25" s="30">
        <f>'6.New purchase sales(take-back)'!C13</f>
        <v>0</v>
      </c>
      <c r="D25" s="30">
        <f>'6.New purchase sales(take-back)'!D13</f>
        <v>50</v>
      </c>
      <c r="E25" s="30">
        <f>'6.New purchase sales(take-back)'!E13</f>
        <v>60</v>
      </c>
      <c r="F25" s="30">
        <f>'6.New purchase sales(take-back)'!F13</f>
        <v>61.800000000000004</v>
      </c>
      <c r="G25" s="30">
        <f>'6.New purchase sales(take-back)'!G13</f>
        <v>63.654000000000003</v>
      </c>
      <c r="H25" s="58">
        <f>'6.New purchase sales(take-back)'!H13</f>
        <v>65.56362</v>
      </c>
    </row>
    <row r="26" spans="2:8" x14ac:dyDescent="0.3">
      <c r="B26" s="79" t="s">
        <v>72</v>
      </c>
      <c r="C26" s="30">
        <f>C24*C25</f>
        <v>0</v>
      </c>
      <c r="D26" s="30">
        <f>D24*D25</f>
        <v>20000</v>
      </c>
      <c r="E26" s="30">
        <f t="shared" ref="E26:H26" si="1">E24*E25</f>
        <v>27000</v>
      </c>
      <c r="F26" s="30">
        <f t="shared" si="1"/>
        <v>28644.300000000003</v>
      </c>
      <c r="G26" s="30">
        <f t="shared" si="1"/>
        <v>30388.737870000004</v>
      </c>
      <c r="H26" s="58">
        <f t="shared" si="1"/>
        <v>32239.412006283004</v>
      </c>
    </row>
    <row r="27" spans="2:8" x14ac:dyDescent="0.3">
      <c r="B27" s="24" t="s">
        <v>9</v>
      </c>
      <c r="C27" s="30">
        <f>SUM(C26)</f>
        <v>0</v>
      </c>
      <c r="D27" s="30">
        <f>SUM(D26)</f>
        <v>20000</v>
      </c>
      <c r="E27" s="30">
        <f t="shared" ref="E27:H27" si="2">SUM(E26)</f>
        <v>27000</v>
      </c>
      <c r="F27" s="30">
        <f t="shared" si="2"/>
        <v>28644.300000000003</v>
      </c>
      <c r="G27" s="30">
        <f t="shared" si="2"/>
        <v>30388.737870000004</v>
      </c>
      <c r="H27" s="58">
        <f t="shared" si="2"/>
        <v>32239.412006283004</v>
      </c>
    </row>
    <row r="28" spans="2:8" x14ac:dyDescent="0.3">
      <c r="B28" s="5" t="s">
        <v>1</v>
      </c>
      <c r="C28" s="30"/>
      <c r="D28" s="30"/>
      <c r="E28" s="30"/>
      <c r="F28" s="30"/>
      <c r="G28" s="30"/>
      <c r="H28" s="58"/>
    </row>
    <row r="29" spans="2:8" ht="13.5" customHeight="1" x14ac:dyDescent="0.3">
      <c r="B29" s="79" t="s">
        <v>111</v>
      </c>
      <c r="C29" s="32">
        <f>'6.New purchase sales(take-back)'!C14</f>
        <v>0</v>
      </c>
      <c r="D29" s="83">
        <f>'6.New purchase sales(take-back)'!D14</f>
        <v>400</v>
      </c>
      <c r="E29" s="83">
        <f>'6.New purchase sales(take-back)'!E14</f>
        <v>450</v>
      </c>
      <c r="F29" s="83">
        <f>'6.New purchase sales(take-back)'!F14</f>
        <v>463.5</v>
      </c>
      <c r="G29" s="83">
        <f>'6.New purchase sales(take-back)'!G14</f>
        <v>477.40500000000003</v>
      </c>
      <c r="H29" s="84">
        <f>'6.New purchase sales(take-back)'!H14</f>
        <v>491.72715000000005</v>
      </c>
    </row>
    <row r="30" spans="2:8" x14ac:dyDescent="0.3">
      <c r="B30" s="79" t="s">
        <v>170</v>
      </c>
      <c r="C30" s="30">
        <f>'6.New purchase sales(take-back)'!C15</f>
        <v>0</v>
      </c>
      <c r="D30" s="30">
        <f>'6.New purchase sales(take-back)'!D15</f>
        <v>30</v>
      </c>
      <c r="E30" s="30">
        <f>'6.New purchase sales(take-back)'!E15</f>
        <v>35</v>
      </c>
      <c r="F30" s="30">
        <f>'6.New purchase sales(take-back)'!F15</f>
        <v>36.050000000000004</v>
      </c>
      <c r="G30" s="30">
        <f>'6.New purchase sales(take-back)'!G15</f>
        <v>37.131500000000003</v>
      </c>
      <c r="H30" s="58">
        <f>'6.New purchase sales(take-back)'!H15</f>
        <v>38.245445000000004</v>
      </c>
    </row>
    <row r="31" spans="2:8" ht="18.5" customHeight="1" x14ac:dyDescent="0.3">
      <c r="B31" s="75" t="s">
        <v>171</v>
      </c>
      <c r="C31" s="6">
        <f t="shared" ref="C31:H31" si="3">C30*C29</f>
        <v>0</v>
      </c>
      <c r="D31" s="6">
        <f t="shared" si="3"/>
        <v>12000</v>
      </c>
      <c r="E31" s="6">
        <f t="shared" si="3"/>
        <v>15750</v>
      </c>
      <c r="F31" s="6">
        <f t="shared" si="3"/>
        <v>16709.175000000003</v>
      </c>
      <c r="G31" s="6">
        <f t="shared" si="3"/>
        <v>17726.763757500001</v>
      </c>
      <c r="H31" s="54">
        <f t="shared" si="3"/>
        <v>18806.323670331753</v>
      </c>
    </row>
    <row r="32" spans="2:8" x14ac:dyDescent="0.3">
      <c r="B32" s="75" t="s">
        <v>101</v>
      </c>
      <c r="C32" s="6">
        <f>C16</f>
        <v>0</v>
      </c>
      <c r="D32" s="6">
        <f t="shared" ref="D32:H32" si="4">D16</f>
        <v>0</v>
      </c>
      <c r="E32" s="6">
        <f t="shared" si="4"/>
        <v>0</v>
      </c>
      <c r="F32" s="6">
        <f t="shared" si="4"/>
        <v>0</v>
      </c>
      <c r="G32" s="6">
        <f t="shared" si="4"/>
        <v>0</v>
      </c>
      <c r="H32" s="54">
        <f t="shared" si="4"/>
        <v>0</v>
      </c>
    </row>
    <row r="33" spans="2:9" x14ac:dyDescent="0.3">
      <c r="B33" s="24" t="s">
        <v>10</v>
      </c>
      <c r="C33" s="6">
        <f>C31+C32</f>
        <v>0</v>
      </c>
      <c r="D33" s="6">
        <f t="shared" ref="D33:H33" si="5">D31+D32</f>
        <v>12000</v>
      </c>
      <c r="E33" s="6">
        <f t="shared" si="5"/>
        <v>15750</v>
      </c>
      <c r="F33" s="6">
        <f t="shared" si="5"/>
        <v>16709.175000000003</v>
      </c>
      <c r="G33" s="6">
        <f t="shared" si="5"/>
        <v>17726.763757500001</v>
      </c>
      <c r="H33" s="54">
        <f t="shared" si="5"/>
        <v>18806.323670331753</v>
      </c>
    </row>
    <row r="34" spans="2:9" ht="13.5" thickBot="1" x14ac:dyDescent="0.35">
      <c r="B34" s="7" t="s">
        <v>94</v>
      </c>
      <c r="C34" s="8">
        <f t="shared" ref="C34:H34" si="6">C27-C33</f>
        <v>0</v>
      </c>
      <c r="D34" s="8">
        <f t="shared" si="6"/>
        <v>8000</v>
      </c>
      <c r="E34" s="8">
        <f t="shared" si="6"/>
        <v>11250</v>
      </c>
      <c r="F34" s="8">
        <f t="shared" si="6"/>
        <v>11935.125</v>
      </c>
      <c r="G34" s="8">
        <f t="shared" si="6"/>
        <v>12661.974112500004</v>
      </c>
      <c r="H34" s="55">
        <f t="shared" si="6"/>
        <v>13433.088335951252</v>
      </c>
      <c r="I34" s="92"/>
    </row>
    <row r="35" spans="2:9" s="95" customFormat="1" x14ac:dyDescent="0.3">
      <c r="B35" s="130" t="s">
        <v>173</v>
      </c>
      <c r="C35" s="93"/>
      <c r="D35" s="94"/>
      <c r="E35" s="94"/>
      <c r="F35" s="94"/>
      <c r="G35" s="94"/>
      <c r="H35" s="94"/>
    </row>
    <row r="36" spans="2:9" s="90" customFormat="1" ht="13.5" thickBot="1" x14ac:dyDescent="0.35">
      <c r="B36" s="89"/>
      <c r="C36" s="89"/>
      <c r="D36" s="89"/>
      <c r="E36" s="89"/>
      <c r="F36" s="89"/>
    </row>
    <row r="37" spans="2:9" x14ac:dyDescent="0.3">
      <c r="B37" s="15" t="s">
        <v>22</v>
      </c>
      <c r="C37" s="25" t="s">
        <v>82</v>
      </c>
      <c r="D37" s="25" t="s">
        <v>83</v>
      </c>
      <c r="E37" s="25" t="s">
        <v>84</v>
      </c>
      <c r="F37" s="25" t="s">
        <v>85</v>
      </c>
      <c r="G37" s="105" t="s">
        <v>86</v>
      </c>
      <c r="H37" s="35" t="s">
        <v>89</v>
      </c>
    </row>
    <row r="38" spans="2:9" x14ac:dyDescent="0.3">
      <c r="B38" s="11" t="s">
        <v>91</v>
      </c>
      <c r="C38" s="4">
        <f>C34</f>
        <v>0</v>
      </c>
      <c r="D38" s="4">
        <f t="shared" ref="D38:H38" si="7">D34</f>
        <v>8000</v>
      </c>
      <c r="E38" s="4">
        <f t="shared" si="7"/>
        <v>11250</v>
      </c>
      <c r="F38" s="4">
        <f t="shared" si="7"/>
        <v>11935.125</v>
      </c>
      <c r="G38" s="4">
        <f t="shared" si="7"/>
        <v>12661.974112500004</v>
      </c>
      <c r="H38" s="62">
        <f t="shared" si="7"/>
        <v>13433.088335951252</v>
      </c>
    </row>
    <row r="39" spans="2:9" ht="13.5" thickBot="1" x14ac:dyDescent="0.35">
      <c r="B39" s="80" t="s">
        <v>90</v>
      </c>
      <c r="C39" s="78">
        <f>C38+NPV($H$20,D38:H38)</f>
        <v>44976.219335150214</v>
      </c>
      <c r="D39" s="10"/>
      <c r="E39" s="78"/>
      <c r="F39" s="10"/>
      <c r="G39" s="100"/>
      <c r="H39" s="39"/>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96AE-B24F-4637-A407-ADF25A915DF3}">
  <sheetPr>
    <tabColor theme="8"/>
  </sheetPr>
  <dimension ref="B1:I78"/>
  <sheetViews>
    <sheetView showGridLines="0" zoomScaleNormal="100" workbookViewId="0"/>
  </sheetViews>
  <sheetFormatPr defaultRowHeight="13" x14ac:dyDescent="0.3"/>
  <cols>
    <col min="1" max="1" width="3.36328125" style="87" customWidth="1"/>
    <col min="2" max="2" width="69.6328125" style="89" customWidth="1"/>
    <col min="3" max="3" width="22.81640625" style="89" customWidth="1"/>
    <col min="4" max="4" width="19" style="86" customWidth="1"/>
    <col min="5" max="6" width="18.54296875" style="86" customWidth="1"/>
    <col min="7" max="7" width="16.6328125" style="87" customWidth="1"/>
    <col min="8" max="8" width="18.54296875" style="87" customWidth="1"/>
    <col min="9" max="9" width="12.81640625" style="87" customWidth="1"/>
    <col min="10" max="16384" width="8.7265625" style="87"/>
  </cols>
  <sheetData>
    <row r="1" spans="2:8" ht="15.5" x14ac:dyDescent="0.3">
      <c r="B1" s="71" t="s">
        <v>75</v>
      </c>
      <c r="C1" s="71"/>
    </row>
    <row r="2" spans="2:8" x14ac:dyDescent="0.3">
      <c r="B2" s="98" t="s">
        <v>102</v>
      </c>
      <c r="C2" s="85"/>
    </row>
    <row r="3" spans="2:8" x14ac:dyDescent="0.3">
      <c r="B3" s="81" t="s">
        <v>73</v>
      </c>
      <c r="C3" s="81"/>
    </row>
    <row r="5" spans="2:8" s="90" customFormat="1" x14ac:dyDescent="0.3">
      <c r="B5" s="85" t="s">
        <v>140</v>
      </c>
      <c r="C5" s="85"/>
      <c r="D5" s="89"/>
      <c r="E5" s="89"/>
      <c r="F5" s="89"/>
    </row>
    <row r="6" spans="2:8" s="90" customFormat="1" x14ac:dyDescent="0.3">
      <c r="B6" s="88" t="s">
        <v>164</v>
      </c>
      <c r="C6" s="88"/>
      <c r="D6" s="89"/>
      <c r="E6" s="89"/>
      <c r="F6" s="89"/>
    </row>
    <row r="7" spans="2:8" s="90" customFormat="1" ht="13.5" thickBot="1" x14ac:dyDescent="0.35">
      <c r="B7" s="88"/>
      <c r="C7" s="88"/>
      <c r="D7" s="89"/>
      <c r="E7" s="89"/>
      <c r="F7" s="89"/>
    </row>
    <row r="8" spans="2:8" s="90" customFormat="1" x14ac:dyDescent="0.3">
      <c r="B8" s="15" t="s">
        <v>21</v>
      </c>
      <c r="C8" s="25" t="s">
        <v>82</v>
      </c>
      <c r="D8" s="25" t="s">
        <v>83</v>
      </c>
      <c r="E8" s="25" t="s">
        <v>84</v>
      </c>
      <c r="F8" s="25" t="s">
        <v>85</v>
      </c>
      <c r="G8" s="25" t="s">
        <v>86</v>
      </c>
      <c r="H8" s="41" t="s">
        <v>89</v>
      </c>
    </row>
    <row r="9" spans="2:8" s="90" customFormat="1" x14ac:dyDescent="0.3">
      <c r="B9" s="16"/>
      <c r="C9" s="42"/>
      <c r="D9" s="42"/>
      <c r="E9" s="42"/>
      <c r="F9" s="66"/>
      <c r="G9" s="66"/>
      <c r="H9" s="68"/>
    </row>
    <row r="10" spans="2:8" s="90" customFormat="1" ht="14.5" x14ac:dyDescent="0.35">
      <c r="B10" s="17" t="s">
        <v>135</v>
      </c>
      <c r="C10" s="43"/>
      <c r="D10" s="43"/>
      <c r="E10" s="43"/>
      <c r="F10" s="43"/>
      <c r="G10" s="103"/>
      <c r="H10" s="37"/>
    </row>
    <row r="11" spans="2:8" s="90" customFormat="1" ht="14.5" x14ac:dyDescent="0.35">
      <c r="B11" s="123" t="s">
        <v>180</v>
      </c>
      <c r="C11" s="114"/>
      <c r="D11" s="114"/>
      <c r="E11" s="114"/>
      <c r="F11" s="114"/>
      <c r="G11" s="115"/>
      <c r="H11" s="116"/>
    </row>
    <row r="12" spans="2:8" s="90" customFormat="1" ht="15" customHeight="1" x14ac:dyDescent="0.3">
      <c r="B12" s="110" t="s">
        <v>240</v>
      </c>
      <c r="C12" s="45">
        <v>0</v>
      </c>
      <c r="D12" s="45">
        <v>50000</v>
      </c>
      <c r="E12" s="45">
        <v>55000</v>
      </c>
      <c r="F12" s="32">
        <f>E12*(1+F$42)</f>
        <v>56650</v>
      </c>
      <c r="G12" s="32">
        <f>F12*(1+G$42)</f>
        <v>58349.5</v>
      </c>
      <c r="H12" s="56">
        <f>G12*(1+H$42)</f>
        <v>60099.985000000001</v>
      </c>
    </row>
    <row r="13" spans="2:8" s="90" customFormat="1" x14ac:dyDescent="0.3">
      <c r="B13" s="123" t="s">
        <v>181</v>
      </c>
      <c r="C13" s="45"/>
      <c r="D13" s="45"/>
      <c r="E13" s="45"/>
      <c r="F13" s="32"/>
      <c r="G13" s="32"/>
      <c r="H13" s="56"/>
    </row>
    <row r="14" spans="2:8" s="90" customFormat="1" x14ac:dyDescent="0.3">
      <c r="B14" s="63" t="s">
        <v>243</v>
      </c>
      <c r="C14" s="45">
        <v>0</v>
      </c>
      <c r="D14" s="118">
        <v>0.7</v>
      </c>
      <c r="E14" s="118">
        <v>0.8</v>
      </c>
      <c r="F14" s="118">
        <v>0.9</v>
      </c>
      <c r="G14" s="118">
        <v>0.9</v>
      </c>
      <c r="H14" s="120">
        <v>0.9</v>
      </c>
    </row>
    <row r="15" spans="2:8" s="90" customFormat="1" ht="14" customHeight="1" x14ac:dyDescent="0.3">
      <c r="B15" s="110" t="s">
        <v>240</v>
      </c>
      <c r="C15" s="45">
        <f>C12*(1-C14)</f>
        <v>0</v>
      </c>
      <c r="D15" s="32">
        <f t="shared" ref="D15:H15" si="0">D12*(1-D14)</f>
        <v>15000.000000000002</v>
      </c>
      <c r="E15" s="32">
        <f t="shared" si="0"/>
        <v>10999.999999999998</v>
      </c>
      <c r="F15" s="32">
        <f t="shared" si="0"/>
        <v>5664.9999999999991</v>
      </c>
      <c r="G15" s="32">
        <f t="shared" si="0"/>
        <v>5834.9499999999989</v>
      </c>
      <c r="H15" s="56">
        <f t="shared" si="0"/>
        <v>6009.9984999999988</v>
      </c>
    </row>
    <row r="16" spans="2:8" s="90" customFormat="1" x14ac:dyDescent="0.3">
      <c r="B16" s="110"/>
      <c r="C16" s="45"/>
      <c r="D16" s="32"/>
      <c r="E16" s="32"/>
      <c r="F16" s="32"/>
      <c r="G16" s="32"/>
      <c r="H16" s="56"/>
    </row>
    <row r="17" spans="2:9" s="90" customFormat="1" ht="14.5" x14ac:dyDescent="0.35">
      <c r="B17" s="17" t="s">
        <v>1</v>
      </c>
      <c r="C17" s="43"/>
      <c r="D17" s="43"/>
      <c r="E17" s="43"/>
      <c r="F17" s="43"/>
      <c r="G17" s="103"/>
      <c r="H17" s="37"/>
    </row>
    <row r="18" spans="2:9" s="90" customFormat="1" ht="14.5" x14ac:dyDescent="0.35">
      <c r="B18" s="73" t="s">
        <v>87</v>
      </c>
      <c r="C18" s="46"/>
      <c r="D18" s="46"/>
      <c r="E18" s="46"/>
      <c r="F18" s="46"/>
      <c r="G18" s="104"/>
      <c r="H18" s="101"/>
    </row>
    <row r="19" spans="2:9" s="90" customFormat="1" x14ac:dyDescent="0.3">
      <c r="B19" s="18" t="s">
        <v>182</v>
      </c>
      <c r="C19" s="42">
        <v>0</v>
      </c>
      <c r="D19" s="102">
        <v>0</v>
      </c>
      <c r="E19" s="102">
        <v>0</v>
      </c>
      <c r="F19" s="102">
        <v>0</v>
      </c>
      <c r="G19" s="102">
        <v>0</v>
      </c>
      <c r="H19" s="106">
        <v>0</v>
      </c>
    </row>
    <row r="20" spans="2:9" s="90" customFormat="1" x14ac:dyDescent="0.3">
      <c r="B20" s="18" t="s">
        <v>183</v>
      </c>
      <c r="C20" s="42">
        <v>1500000</v>
      </c>
      <c r="D20" s="102">
        <v>0</v>
      </c>
      <c r="E20" s="102">
        <v>0</v>
      </c>
      <c r="F20" s="102">
        <v>0</v>
      </c>
      <c r="G20" s="102">
        <v>0</v>
      </c>
      <c r="H20" s="106">
        <v>0</v>
      </c>
    </row>
    <row r="21" spans="2:9" s="90" customFormat="1" x14ac:dyDescent="0.3">
      <c r="B21" s="18"/>
      <c r="C21" s="42"/>
      <c r="D21" s="102"/>
      <c r="E21" s="102"/>
      <c r="F21" s="102"/>
      <c r="G21" s="102"/>
      <c r="H21" s="106"/>
    </row>
    <row r="22" spans="2:9" s="90" customFormat="1" x14ac:dyDescent="0.3">
      <c r="B22" s="73" t="s">
        <v>184</v>
      </c>
      <c r="C22" s="42"/>
      <c r="D22" s="42"/>
      <c r="E22" s="42"/>
      <c r="F22" s="66"/>
      <c r="G22" s="66"/>
      <c r="H22" s="68"/>
    </row>
    <row r="23" spans="2:9" s="90" customFormat="1" x14ac:dyDescent="0.3">
      <c r="B23" s="123" t="s">
        <v>145</v>
      </c>
      <c r="C23" s="42"/>
      <c r="D23" s="42"/>
      <c r="E23" s="42"/>
      <c r="F23" s="66"/>
      <c r="G23" s="66"/>
      <c r="H23" s="68"/>
    </row>
    <row r="24" spans="2:9" s="90" customFormat="1" x14ac:dyDescent="0.3">
      <c r="B24" s="110" t="s">
        <v>241</v>
      </c>
      <c r="C24" s="42">
        <v>0</v>
      </c>
      <c r="D24" s="42">
        <v>5</v>
      </c>
      <c r="E24" s="42">
        <v>8</v>
      </c>
      <c r="F24" s="66">
        <f>E24*(1+F$42)</f>
        <v>8.24</v>
      </c>
      <c r="G24" s="66">
        <f>F24*(1+G$42)</f>
        <v>8.4871999999999996</v>
      </c>
      <c r="H24" s="68">
        <f>G24*(1+H$42)</f>
        <v>8.741816</v>
      </c>
    </row>
    <row r="25" spans="2:9" s="90" customFormat="1" x14ac:dyDescent="0.3">
      <c r="B25" s="123" t="s">
        <v>178</v>
      </c>
      <c r="C25" s="42"/>
      <c r="D25" s="42"/>
      <c r="E25" s="42"/>
      <c r="F25" s="66"/>
      <c r="G25" s="66"/>
      <c r="H25" s="68"/>
    </row>
    <row r="26" spans="2:9" s="90" customFormat="1" x14ac:dyDescent="0.3">
      <c r="B26" s="123" t="s">
        <v>180</v>
      </c>
      <c r="C26" s="42"/>
      <c r="D26" s="42"/>
      <c r="E26" s="42"/>
      <c r="F26" s="66"/>
      <c r="G26" s="66"/>
      <c r="H26" s="68"/>
    </row>
    <row r="27" spans="2:9" s="90" customFormat="1" x14ac:dyDescent="0.3">
      <c r="B27" s="110" t="s">
        <v>242</v>
      </c>
      <c r="C27" s="66">
        <f>C12*C24</f>
        <v>0</v>
      </c>
      <c r="D27" s="66">
        <f t="shared" ref="D27:H27" si="1">D12*D24</f>
        <v>250000</v>
      </c>
      <c r="E27" s="66">
        <f t="shared" si="1"/>
        <v>440000</v>
      </c>
      <c r="F27" s="66">
        <f t="shared" si="1"/>
        <v>466796</v>
      </c>
      <c r="G27" s="66">
        <f t="shared" si="1"/>
        <v>495223.87639999995</v>
      </c>
      <c r="H27" s="68">
        <f t="shared" si="1"/>
        <v>525383.01047275995</v>
      </c>
    </row>
    <row r="28" spans="2:9" s="90" customFormat="1" x14ac:dyDescent="0.3">
      <c r="B28" s="110" t="s">
        <v>143</v>
      </c>
      <c r="C28" s="42">
        <v>0</v>
      </c>
      <c r="D28" s="42">
        <v>5000</v>
      </c>
      <c r="E28" s="42">
        <v>6500</v>
      </c>
      <c r="F28" s="66">
        <f t="shared" ref="F28:H32" si="2">E28*(1+F$42)</f>
        <v>6695</v>
      </c>
      <c r="G28" s="66">
        <f t="shared" si="2"/>
        <v>6895.85</v>
      </c>
      <c r="H28" s="68">
        <f t="shared" si="2"/>
        <v>7102.7255000000005</v>
      </c>
      <c r="I28" s="133"/>
    </row>
    <row r="29" spans="2:9" s="90" customFormat="1" x14ac:dyDescent="0.3">
      <c r="B29" s="110" t="s">
        <v>142</v>
      </c>
      <c r="C29" s="42">
        <v>0</v>
      </c>
      <c r="D29" s="42">
        <v>10000</v>
      </c>
      <c r="E29" s="42">
        <v>11000</v>
      </c>
      <c r="F29" s="66">
        <f t="shared" si="2"/>
        <v>11330</v>
      </c>
      <c r="G29" s="66">
        <f t="shared" si="2"/>
        <v>11669.9</v>
      </c>
      <c r="H29" s="68">
        <f t="shared" si="2"/>
        <v>12019.996999999999</v>
      </c>
    </row>
    <row r="30" spans="2:9" s="90" customFormat="1" x14ac:dyDescent="0.3">
      <c r="B30" s="110" t="s">
        <v>141</v>
      </c>
      <c r="C30" s="42">
        <v>0</v>
      </c>
      <c r="D30" s="42">
        <v>7000</v>
      </c>
      <c r="E30" s="42">
        <v>75000</v>
      </c>
      <c r="F30" s="66">
        <f t="shared" si="2"/>
        <v>77250</v>
      </c>
      <c r="G30" s="66">
        <f t="shared" si="2"/>
        <v>79567.5</v>
      </c>
      <c r="H30" s="68">
        <f t="shared" si="2"/>
        <v>81954.525000000009</v>
      </c>
    </row>
    <row r="31" spans="2:9" s="90" customFormat="1" x14ac:dyDescent="0.3">
      <c r="B31" s="110" t="s">
        <v>144</v>
      </c>
      <c r="C31" s="42">
        <v>0</v>
      </c>
      <c r="D31" s="42">
        <v>8000</v>
      </c>
      <c r="E31" s="42">
        <v>8200</v>
      </c>
      <c r="F31" s="66">
        <f t="shared" si="2"/>
        <v>8446</v>
      </c>
      <c r="G31" s="66">
        <f t="shared" si="2"/>
        <v>8699.380000000001</v>
      </c>
      <c r="H31" s="68">
        <f t="shared" si="2"/>
        <v>8960.3614000000016</v>
      </c>
    </row>
    <row r="32" spans="2:9" s="90" customFormat="1" x14ac:dyDescent="0.3">
      <c r="B32" s="18" t="s">
        <v>101</v>
      </c>
      <c r="C32" s="42">
        <v>0</v>
      </c>
      <c r="D32" s="42">
        <v>0</v>
      </c>
      <c r="E32" s="42">
        <v>0</v>
      </c>
      <c r="F32" s="66">
        <f t="shared" si="2"/>
        <v>0</v>
      </c>
      <c r="G32" s="66">
        <f t="shared" si="2"/>
        <v>0</v>
      </c>
      <c r="H32" s="68">
        <f t="shared" si="2"/>
        <v>0</v>
      </c>
    </row>
    <row r="33" spans="2:9" s="90" customFormat="1" x14ac:dyDescent="0.3">
      <c r="B33" s="123" t="s">
        <v>185</v>
      </c>
      <c r="C33" s="42"/>
      <c r="D33" s="42"/>
      <c r="E33" s="42"/>
      <c r="F33" s="66"/>
      <c r="G33" s="66"/>
      <c r="H33" s="68"/>
    </row>
    <row r="34" spans="2:9" s="90" customFormat="1" x14ac:dyDescent="0.3">
      <c r="B34" s="110" t="s">
        <v>242</v>
      </c>
      <c r="C34" s="66">
        <f>C15*C24</f>
        <v>0</v>
      </c>
      <c r="D34" s="66">
        <f t="shared" ref="D34:H34" si="3">D15*D24</f>
        <v>75000.000000000015</v>
      </c>
      <c r="E34" s="66">
        <f t="shared" si="3"/>
        <v>87999.999999999985</v>
      </c>
      <c r="F34" s="66">
        <f t="shared" si="3"/>
        <v>46679.599999999991</v>
      </c>
      <c r="G34" s="66">
        <f t="shared" si="3"/>
        <v>49522.387639999986</v>
      </c>
      <c r="H34" s="68">
        <f t="shared" si="3"/>
        <v>52538.301047275992</v>
      </c>
      <c r="I34" s="133"/>
    </row>
    <row r="35" spans="2:9" s="90" customFormat="1" x14ac:dyDescent="0.3">
      <c r="B35" s="110" t="s">
        <v>143</v>
      </c>
      <c r="C35" s="66">
        <f>IFERROR(C28*(C34/C27),0)</f>
        <v>0</v>
      </c>
      <c r="D35" s="66">
        <f t="shared" ref="D35:H35" si="4">IFERROR(D28*(D34/D27),0)</f>
        <v>1500.0000000000002</v>
      </c>
      <c r="E35" s="66">
        <f t="shared" si="4"/>
        <v>1299.9999999999998</v>
      </c>
      <c r="F35" s="66">
        <f t="shared" si="4"/>
        <v>669.49999999999989</v>
      </c>
      <c r="G35" s="66">
        <f t="shared" si="4"/>
        <v>689.58499999999992</v>
      </c>
      <c r="H35" s="68">
        <f t="shared" si="4"/>
        <v>710.27255000000002</v>
      </c>
    </row>
    <row r="36" spans="2:9" s="90" customFormat="1" x14ac:dyDescent="0.3">
      <c r="B36" s="110" t="s">
        <v>142</v>
      </c>
      <c r="C36" s="66">
        <f t="shared" ref="C36:H36" si="5">IFERROR(C29*(C35/C28),0)</f>
        <v>0</v>
      </c>
      <c r="D36" s="66">
        <f t="shared" si="5"/>
        <v>3000.0000000000005</v>
      </c>
      <c r="E36" s="66">
        <f t="shared" si="5"/>
        <v>2199.9999999999995</v>
      </c>
      <c r="F36" s="66">
        <f t="shared" si="5"/>
        <v>1132.9999999999998</v>
      </c>
      <c r="G36" s="66">
        <f t="shared" si="5"/>
        <v>1166.9899999999998</v>
      </c>
      <c r="H36" s="68">
        <f t="shared" si="5"/>
        <v>1201.9996999999998</v>
      </c>
    </row>
    <row r="37" spans="2:9" s="90" customFormat="1" x14ac:dyDescent="0.3">
      <c r="B37" s="110" t="s">
        <v>141</v>
      </c>
      <c r="C37" s="66">
        <f t="shared" ref="C37:H39" si="6">IFERROR(C30*(C36/C29),0)</f>
        <v>0</v>
      </c>
      <c r="D37" s="66">
        <f t="shared" si="6"/>
        <v>2100.0000000000005</v>
      </c>
      <c r="E37" s="66">
        <f t="shared" si="6"/>
        <v>14999.999999999996</v>
      </c>
      <c r="F37" s="66">
        <f t="shared" si="6"/>
        <v>7724.9999999999982</v>
      </c>
      <c r="G37" s="66">
        <f t="shared" si="6"/>
        <v>7956.7499999999982</v>
      </c>
      <c r="H37" s="68">
        <f t="shared" si="6"/>
        <v>8195.4524999999994</v>
      </c>
    </row>
    <row r="38" spans="2:9" s="90" customFormat="1" x14ac:dyDescent="0.3">
      <c r="B38" s="110" t="s">
        <v>144</v>
      </c>
      <c r="C38" s="66">
        <f t="shared" ref="C38" si="7">IFERROR(C31*(C37/C30),0)</f>
        <v>0</v>
      </c>
      <c r="D38" s="66">
        <f t="shared" si="6"/>
        <v>2400.0000000000005</v>
      </c>
      <c r="E38" s="66">
        <f t="shared" si="6"/>
        <v>1639.9999999999995</v>
      </c>
      <c r="F38" s="66">
        <f t="shared" si="6"/>
        <v>844.5999999999998</v>
      </c>
      <c r="G38" s="66">
        <f t="shared" si="6"/>
        <v>869.93799999999987</v>
      </c>
      <c r="H38" s="68">
        <f t="shared" si="6"/>
        <v>896.03613999999993</v>
      </c>
    </row>
    <row r="39" spans="2:9" s="90" customFormat="1" x14ac:dyDescent="0.3">
      <c r="B39" s="18" t="s">
        <v>101</v>
      </c>
      <c r="C39" s="66">
        <f t="shared" ref="C39" si="8">IFERROR(C32*(C38/C31),0)</f>
        <v>0</v>
      </c>
      <c r="D39" s="66">
        <f t="shared" si="6"/>
        <v>0</v>
      </c>
      <c r="E39" s="66">
        <f t="shared" si="6"/>
        <v>0</v>
      </c>
      <c r="F39" s="66">
        <f t="shared" si="6"/>
        <v>0</v>
      </c>
      <c r="G39" s="66">
        <f t="shared" si="6"/>
        <v>0</v>
      </c>
      <c r="H39" s="68">
        <f t="shared" si="6"/>
        <v>0</v>
      </c>
    </row>
    <row r="40" spans="2:9" s="90" customFormat="1" x14ac:dyDescent="0.3">
      <c r="B40" s="18"/>
      <c r="C40" s="111"/>
      <c r="D40" s="111"/>
      <c r="E40" s="111"/>
      <c r="F40" s="112"/>
      <c r="G40" s="112"/>
      <c r="H40" s="113"/>
    </row>
    <row r="41" spans="2:9" s="90" customFormat="1" ht="14.5" x14ac:dyDescent="0.35">
      <c r="B41" s="17" t="s">
        <v>66</v>
      </c>
      <c r="C41" s="26"/>
      <c r="D41" s="26"/>
      <c r="E41" s="26"/>
      <c r="F41" s="26"/>
      <c r="G41" s="103"/>
      <c r="H41" s="37"/>
    </row>
    <row r="42" spans="2:9" s="90" customFormat="1" x14ac:dyDescent="0.3">
      <c r="B42" s="63" t="s">
        <v>35</v>
      </c>
      <c r="C42" s="27"/>
      <c r="D42" s="51">
        <v>0.03</v>
      </c>
      <c r="E42" s="51">
        <v>0.03</v>
      </c>
      <c r="F42" s="51">
        <v>0.03</v>
      </c>
      <c r="G42" s="51">
        <v>0.03</v>
      </c>
      <c r="H42" s="65">
        <v>0.03</v>
      </c>
    </row>
    <row r="43" spans="2:9" s="90" customFormat="1" ht="16" customHeight="1" thickBot="1" x14ac:dyDescent="0.35">
      <c r="B43" s="21" t="s">
        <v>15</v>
      </c>
      <c r="C43" s="28"/>
      <c r="D43" s="53"/>
      <c r="E43" s="53"/>
      <c r="F43" s="53"/>
      <c r="G43" s="53"/>
      <c r="H43" s="82">
        <v>0.08</v>
      </c>
    </row>
    <row r="44" spans="2:9" s="90" customFormat="1" ht="16" customHeight="1" x14ac:dyDescent="0.3">
      <c r="B44" s="127" t="s">
        <v>191</v>
      </c>
      <c r="C44" s="27"/>
      <c r="D44" s="51"/>
      <c r="E44" s="51"/>
      <c r="F44" s="51"/>
      <c r="G44" s="51"/>
      <c r="H44" s="51"/>
    </row>
    <row r="45" spans="2:9" s="90" customFormat="1" ht="16" customHeight="1" x14ac:dyDescent="0.3">
      <c r="B45" s="127" t="s">
        <v>179</v>
      </c>
      <c r="C45" s="27"/>
      <c r="D45" s="51"/>
      <c r="E45" s="51"/>
      <c r="F45" s="51"/>
      <c r="G45" s="51"/>
      <c r="H45" s="51"/>
    </row>
    <row r="46" spans="2:9" s="90" customFormat="1" ht="16" customHeight="1" x14ac:dyDescent="0.3">
      <c r="B46" s="127" t="s">
        <v>239</v>
      </c>
      <c r="C46" s="27"/>
      <c r="D46" s="51"/>
      <c r="E46" s="51"/>
      <c r="F46" s="51"/>
      <c r="G46" s="51"/>
      <c r="H46" s="51"/>
    </row>
    <row r="47" spans="2:9" s="90" customFormat="1" ht="13.5" thickBot="1" x14ac:dyDescent="0.35">
      <c r="B47" s="88"/>
      <c r="C47" s="88"/>
      <c r="D47" s="89"/>
      <c r="E47" s="89"/>
      <c r="F47" s="89"/>
    </row>
    <row r="48" spans="2:9" ht="26" customHeight="1" x14ac:dyDescent="0.3">
      <c r="B48" s="40" t="s">
        <v>186</v>
      </c>
      <c r="C48" s="25" t="s">
        <v>82</v>
      </c>
      <c r="D48" s="25" t="s">
        <v>83</v>
      </c>
      <c r="E48" s="25" t="s">
        <v>84</v>
      </c>
      <c r="F48" s="25" t="s">
        <v>85</v>
      </c>
      <c r="G48" s="25" t="s">
        <v>86</v>
      </c>
      <c r="H48" s="41" t="s">
        <v>89</v>
      </c>
    </row>
    <row r="49" spans="2:8" x14ac:dyDescent="0.3">
      <c r="B49" s="5" t="s">
        <v>187</v>
      </c>
      <c r="C49" s="99"/>
      <c r="D49" s="89"/>
      <c r="E49" s="89"/>
      <c r="F49" s="89"/>
      <c r="G49" s="90"/>
      <c r="H49" s="91"/>
    </row>
    <row r="50" spans="2:8" x14ac:dyDescent="0.3">
      <c r="B50" s="119" t="s">
        <v>88</v>
      </c>
      <c r="C50" s="125">
        <f>C19</f>
        <v>0</v>
      </c>
      <c r="D50" s="125">
        <f t="shared" ref="D50:H50" si="9">D19</f>
        <v>0</v>
      </c>
      <c r="E50" s="125">
        <f t="shared" si="9"/>
        <v>0</v>
      </c>
      <c r="F50" s="125">
        <f t="shared" si="9"/>
        <v>0</v>
      </c>
      <c r="G50" s="125">
        <f t="shared" si="9"/>
        <v>0</v>
      </c>
      <c r="H50" s="126">
        <f t="shared" si="9"/>
        <v>0</v>
      </c>
    </row>
    <row r="51" spans="2:8" x14ac:dyDescent="0.3">
      <c r="B51" s="124" t="s">
        <v>145</v>
      </c>
      <c r="C51" s="6"/>
      <c r="D51" s="6"/>
      <c r="E51" s="6"/>
      <c r="F51" s="6"/>
      <c r="G51" s="6"/>
      <c r="H51" s="54"/>
    </row>
    <row r="52" spans="2:8" x14ac:dyDescent="0.3">
      <c r="B52" s="119" t="s">
        <v>242</v>
      </c>
      <c r="C52" s="6">
        <f>C27</f>
        <v>0</v>
      </c>
      <c r="D52" s="6">
        <f t="shared" ref="D52:H52" si="10">D27</f>
        <v>250000</v>
      </c>
      <c r="E52" s="6">
        <f t="shared" si="10"/>
        <v>440000</v>
      </c>
      <c r="F52" s="6">
        <f t="shared" si="10"/>
        <v>466796</v>
      </c>
      <c r="G52" s="6">
        <f t="shared" si="10"/>
        <v>495223.87639999995</v>
      </c>
      <c r="H52" s="54">
        <f t="shared" si="10"/>
        <v>525383.01047275995</v>
      </c>
    </row>
    <row r="53" spans="2:8" x14ac:dyDescent="0.3">
      <c r="B53" s="123" t="s">
        <v>146</v>
      </c>
      <c r="C53" s="6"/>
      <c r="D53" s="6"/>
      <c r="E53" s="6"/>
      <c r="F53" s="6"/>
      <c r="G53" s="6"/>
      <c r="H53" s="54"/>
    </row>
    <row r="54" spans="2:8" x14ac:dyDescent="0.3">
      <c r="B54" s="119" t="s">
        <v>143</v>
      </c>
      <c r="C54" s="6">
        <f>C28</f>
        <v>0</v>
      </c>
      <c r="D54" s="6">
        <f t="shared" ref="D54:H54" si="11">D28</f>
        <v>5000</v>
      </c>
      <c r="E54" s="6">
        <f t="shared" si="11"/>
        <v>6500</v>
      </c>
      <c r="F54" s="6">
        <f t="shared" si="11"/>
        <v>6695</v>
      </c>
      <c r="G54" s="6">
        <f t="shared" si="11"/>
        <v>6895.85</v>
      </c>
      <c r="H54" s="54">
        <f t="shared" si="11"/>
        <v>7102.7255000000005</v>
      </c>
    </row>
    <row r="55" spans="2:8" x14ac:dyDescent="0.3">
      <c r="B55" s="119" t="s">
        <v>142</v>
      </c>
      <c r="C55" s="6">
        <f t="shared" ref="C55:H55" si="12">C29</f>
        <v>0</v>
      </c>
      <c r="D55" s="6">
        <f t="shared" si="12"/>
        <v>10000</v>
      </c>
      <c r="E55" s="6">
        <f t="shared" si="12"/>
        <v>11000</v>
      </c>
      <c r="F55" s="6">
        <f t="shared" si="12"/>
        <v>11330</v>
      </c>
      <c r="G55" s="6">
        <f t="shared" si="12"/>
        <v>11669.9</v>
      </c>
      <c r="H55" s="54">
        <f t="shared" si="12"/>
        <v>12019.996999999999</v>
      </c>
    </row>
    <row r="56" spans="2:8" ht="16" customHeight="1" x14ac:dyDescent="0.3">
      <c r="B56" s="119" t="s">
        <v>141</v>
      </c>
      <c r="C56" s="6">
        <f t="shared" ref="C56:H56" si="13">C30</f>
        <v>0</v>
      </c>
      <c r="D56" s="6">
        <f t="shared" si="13"/>
        <v>7000</v>
      </c>
      <c r="E56" s="6">
        <f t="shared" si="13"/>
        <v>75000</v>
      </c>
      <c r="F56" s="6">
        <f t="shared" si="13"/>
        <v>77250</v>
      </c>
      <c r="G56" s="6">
        <f t="shared" si="13"/>
        <v>79567.5</v>
      </c>
      <c r="H56" s="54">
        <f t="shared" si="13"/>
        <v>81954.525000000009</v>
      </c>
    </row>
    <row r="57" spans="2:8" x14ac:dyDescent="0.3">
      <c r="B57" s="119" t="s">
        <v>144</v>
      </c>
      <c r="C57" s="6">
        <f t="shared" ref="C57:H57" si="14">C31</f>
        <v>0</v>
      </c>
      <c r="D57" s="6">
        <f t="shared" si="14"/>
        <v>8000</v>
      </c>
      <c r="E57" s="6">
        <f t="shared" si="14"/>
        <v>8200</v>
      </c>
      <c r="F57" s="6">
        <f t="shared" si="14"/>
        <v>8446</v>
      </c>
      <c r="G57" s="6">
        <f t="shared" si="14"/>
        <v>8699.380000000001</v>
      </c>
      <c r="H57" s="54">
        <f t="shared" si="14"/>
        <v>8960.3614000000016</v>
      </c>
    </row>
    <row r="58" spans="2:8" x14ac:dyDescent="0.3">
      <c r="B58" s="79" t="s">
        <v>101</v>
      </c>
      <c r="C58" s="6">
        <f t="shared" ref="C58:H58" si="15">C32</f>
        <v>0</v>
      </c>
      <c r="D58" s="6">
        <f t="shared" si="15"/>
        <v>0</v>
      </c>
      <c r="E58" s="6">
        <f t="shared" si="15"/>
        <v>0</v>
      </c>
      <c r="F58" s="6">
        <f t="shared" si="15"/>
        <v>0</v>
      </c>
      <c r="G58" s="6">
        <f t="shared" si="15"/>
        <v>0</v>
      </c>
      <c r="H58" s="54">
        <f t="shared" si="15"/>
        <v>0</v>
      </c>
    </row>
    <row r="59" spans="2:8" x14ac:dyDescent="0.3">
      <c r="B59" s="75" t="s">
        <v>10</v>
      </c>
      <c r="C59" s="6">
        <f>C50+C52+SUM(C54:C58)</f>
        <v>0</v>
      </c>
      <c r="D59" s="6">
        <f t="shared" ref="D59:H59" si="16">D50+D52+SUM(D54:D58)</f>
        <v>280000</v>
      </c>
      <c r="E59" s="6">
        <f t="shared" si="16"/>
        <v>540700</v>
      </c>
      <c r="F59" s="6">
        <f t="shared" si="16"/>
        <v>570517</v>
      </c>
      <c r="G59" s="6">
        <f t="shared" si="16"/>
        <v>602056.50639999995</v>
      </c>
      <c r="H59" s="54">
        <f t="shared" si="16"/>
        <v>635420.61937275995</v>
      </c>
    </row>
    <row r="60" spans="2:8" x14ac:dyDescent="0.3">
      <c r="B60" s="117" t="s">
        <v>188</v>
      </c>
      <c r="C60" s="6">
        <f>C59</f>
        <v>0</v>
      </c>
      <c r="D60" s="6">
        <f t="shared" ref="D60:H60" si="17">D59</f>
        <v>280000</v>
      </c>
      <c r="E60" s="6">
        <f t="shared" si="17"/>
        <v>540700</v>
      </c>
      <c r="F60" s="6">
        <f t="shared" si="17"/>
        <v>570517</v>
      </c>
      <c r="G60" s="6">
        <f t="shared" si="17"/>
        <v>602056.50639999995</v>
      </c>
      <c r="H60" s="54">
        <f t="shared" si="17"/>
        <v>635420.61937275995</v>
      </c>
    </row>
    <row r="61" spans="2:8" x14ac:dyDescent="0.3">
      <c r="B61" s="117"/>
      <c r="C61" s="6"/>
      <c r="D61" s="6"/>
      <c r="E61" s="6"/>
      <c r="F61" s="6"/>
      <c r="G61" s="6"/>
      <c r="H61" s="54"/>
    </row>
    <row r="62" spans="2:8" x14ac:dyDescent="0.3">
      <c r="B62" s="5" t="s">
        <v>189</v>
      </c>
      <c r="C62" s="6"/>
      <c r="D62" s="6"/>
      <c r="E62" s="6"/>
      <c r="F62" s="6"/>
      <c r="G62" s="6"/>
      <c r="H62" s="54"/>
    </row>
    <row r="63" spans="2:8" x14ac:dyDescent="0.3">
      <c r="B63" s="119" t="s">
        <v>88</v>
      </c>
      <c r="C63" s="6">
        <f>C20</f>
        <v>1500000</v>
      </c>
      <c r="D63" s="6">
        <f t="shared" ref="D63:H63" si="18">D20</f>
        <v>0</v>
      </c>
      <c r="E63" s="6">
        <f t="shared" si="18"/>
        <v>0</v>
      </c>
      <c r="F63" s="6">
        <f t="shared" si="18"/>
        <v>0</v>
      </c>
      <c r="G63" s="6">
        <f t="shared" si="18"/>
        <v>0</v>
      </c>
      <c r="H63" s="54">
        <f t="shared" si="18"/>
        <v>0</v>
      </c>
    </row>
    <row r="64" spans="2:8" x14ac:dyDescent="0.3">
      <c r="B64" s="123" t="s">
        <v>145</v>
      </c>
      <c r="C64" s="6"/>
      <c r="D64" s="6"/>
      <c r="E64" s="6"/>
      <c r="F64" s="6"/>
      <c r="G64" s="6"/>
      <c r="H64" s="54"/>
    </row>
    <row r="65" spans="2:8" x14ac:dyDescent="0.3">
      <c r="B65" s="119" t="s">
        <v>242</v>
      </c>
      <c r="C65" s="6">
        <f>C34</f>
        <v>0</v>
      </c>
      <c r="D65" s="6">
        <f t="shared" ref="D65:H65" si="19">D34</f>
        <v>75000.000000000015</v>
      </c>
      <c r="E65" s="6">
        <f t="shared" si="19"/>
        <v>87999.999999999985</v>
      </c>
      <c r="F65" s="6">
        <f t="shared" si="19"/>
        <v>46679.599999999991</v>
      </c>
      <c r="G65" s="6">
        <f t="shared" si="19"/>
        <v>49522.387639999986</v>
      </c>
      <c r="H65" s="54">
        <f t="shared" si="19"/>
        <v>52538.301047275992</v>
      </c>
    </row>
    <row r="66" spans="2:8" x14ac:dyDescent="0.3">
      <c r="B66" s="123" t="s">
        <v>146</v>
      </c>
      <c r="C66" s="6"/>
      <c r="D66" s="6"/>
      <c r="E66" s="6"/>
      <c r="F66" s="6"/>
      <c r="G66" s="6"/>
      <c r="H66" s="54"/>
    </row>
    <row r="67" spans="2:8" x14ac:dyDescent="0.3">
      <c r="B67" s="119" t="s">
        <v>143</v>
      </c>
      <c r="C67" s="6">
        <f>C35</f>
        <v>0</v>
      </c>
      <c r="D67" s="6">
        <f t="shared" ref="D67:H67" si="20">D35</f>
        <v>1500.0000000000002</v>
      </c>
      <c r="E67" s="6">
        <f t="shared" si="20"/>
        <v>1299.9999999999998</v>
      </c>
      <c r="F67" s="6">
        <f t="shared" si="20"/>
        <v>669.49999999999989</v>
      </c>
      <c r="G67" s="6">
        <f t="shared" si="20"/>
        <v>689.58499999999992</v>
      </c>
      <c r="H67" s="54">
        <f t="shared" si="20"/>
        <v>710.27255000000002</v>
      </c>
    </row>
    <row r="68" spans="2:8" x14ac:dyDescent="0.3">
      <c r="B68" s="119" t="s">
        <v>142</v>
      </c>
      <c r="C68" s="6">
        <f t="shared" ref="C68:H68" si="21">C36</f>
        <v>0</v>
      </c>
      <c r="D68" s="6">
        <f t="shared" si="21"/>
        <v>3000.0000000000005</v>
      </c>
      <c r="E68" s="6">
        <f t="shared" si="21"/>
        <v>2199.9999999999995</v>
      </c>
      <c r="F68" s="6">
        <f t="shared" si="21"/>
        <v>1132.9999999999998</v>
      </c>
      <c r="G68" s="6">
        <f t="shared" si="21"/>
        <v>1166.9899999999998</v>
      </c>
      <c r="H68" s="54">
        <f t="shared" si="21"/>
        <v>1201.9996999999998</v>
      </c>
    </row>
    <row r="69" spans="2:8" x14ac:dyDescent="0.3">
      <c r="B69" s="119" t="s">
        <v>141</v>
      </c>
      <c r="C69" s="6">
        <f t="shared" ref="C69:H69" si="22">C37</f>
        <v>0</v>
      </c>
      <c r="D69" s="6">
        <f t="shared" si="22"/>
        <v>2100.0000000000005</v>
      </c>
      <c r="E69" s="6">
        <f t="shared" si="22"/>
        <v>14999.999999999996</v>
      </c>
      <c r="F69" s="6">
        <f t="shared" si="22"/>
        <v>7724.9999999999982</v>
      </c>
      <c r="G69" s="6">
        <f t="shared" si="22"/>
        <v>7956.7499999999982</v>
      </c>
      <c r="H69" s="54">
        <f t="shared" si="22"/>
        <v>8195.4524999999994</v>
      </c>
    </row>
    <row r="70" spans="2:8" x14ac:dyDescent="0.3">
      <c r="B70" s="119" t="s">
        <v>144</v>
      </c>
      <c r="C70" s="6">
        <f t="shared" ref="C70:H70" si="23">C38</f>
        <v>0</v>
      </c>
      <c r="D70" s="6">
        <f t="shared" si="23"/>
        <v>2400.0000000000005</v>
      </c>
      <c r="E70" s="6">
        <f t="shared" si="23"/>
        <v>1639.9999999999995</v>
      </c>
      <c r="F70" s="6">
        <f t="shared" si="23"/>
        <v>844.5999999999998</v>
      </c>
      <c r="G70" s="6">
        <f t="shared" si="23"/>
        <v>869.93799999999987</v>
      </c>
      <c r="H70" s="54">
        <f t="shared" si="23"/>
        <v>896.03613999999993</v>
      </c>
    </row>
    <row r="71" spans="2:8" x14ac:dyDescent="0.3">
      <c r="B71" s="79" t="s">
        <v>101</v>
      </c>
      <c r="C71" s="6">
        <f t="shared" ref="C71:H71" si="24">C39</f>
        <v>0</v>
      </c>
      <c r="D71" s="6">
        <f t="shared" si="24"/>
        <v>0</v>
      </c>
      <c r="E71" s="6">
        <f t="shared" si="24"/>
        <v>0</v>
      </c>
      <c r="F71" s="6">
        <f t="shared" si="24"/>
        <v>0</v>
      </c>
      <c r="G71" s="6">
        <f t="shared" si="24"/>
        <v>0</v>
      </c>
      <c r="H71" s="54">
        <f t="shared" si="24"/>
        <v>0</v>
      </c>
    </row>
    <row r="72" spans="2:8" x14ac:dyDescent="0.3">
      <c r="B72" s="75" t="s">
        <v>10</v>
      </c>
      <c r="C72" s="6">
        <f>C63+C65+SUM(C67:C71)</f>
        <v>1500000</v>
      </c>
      <c r="D72" s="6">
        <f t="shared" ref="D72:H72" si="25">D63+D65+SUM(D67:D71)</f>
        <v>84000.000000000015</v>
      </c>
      <c r="E72" s="6">
        <f t="shared" si="25"/>
        <v>108139.99999999999</v>
      </c>
      <c r="F72" s="6">
        <f t="shared" si="25"/>
        <v>57051.69999999999</v>
      </c>
      <c r="G72" s="6">
        <f t="shared" si="25"/>
        <v>60205.650639999985</v>
      </c>
      <c r="H72" s="54">
        <f t="shared" si="25"/>
        <v>63542.06193727599</v>
      </c>
    </row>
    <row r="73" spans="2:8" x14ac:dyDescent="0.3">
      <c r="B73" s="117" t="s">
        <v>190</v>
      </c>
      <c r="C73" s="6">
        <f>C72</f>
        <v>1500000</v>
      </c>
      <c r="D73" s="6">
        <f t="shared" ref="D73:H73" si="26">D72</f>
        <v>84000.000000000015</v>
      </c>
      <c r="E73" s="6">
        <f t="shared" si="26"/>
        <v>108139.99999999999</v>
      </c>
      <c r="F73" s="6">
        <f t="shared" si="26"/>
        <v>57051.69999999999</v>
      </c>
      <c r="G73" s="6">
        <f t="shared" si="26"/>
        <v>60205.650639999985</v>
      </c>
      <c r="H73" s="54">
        <f t="shared" si="26"/>
        <v>63542.06193727599</v>
      </c>
    </row>
    <row r="74" spans="2:8" ht="13.5" thickBot="1" x14ac:dyDescent="0.35">
      <c r="B74" s="7" t="s">
        <v>246</v>
      </c>
      <c r="C74" s="8">
        <f>(C60-C73)</f>
        <v>-1500000</v>
      </c>
      <c r="D74" s="8">
        <f>D60-D73</f>
        <v>196000</v>
      </c>
      <c r="E74" s="8">
        <f>E60-E73</f>
        <v>432560</v>
      </c>
      <c r="F74" s="8">
        <f>F60-F73</f>
        <v>513465.3</v>
      </c>
      <c r="G74" s="8">
        <f>G60-G73</f>
        <v>541850.85575999995</v>
      </c>
      <c r="H74" s="55">
        <f>H60-H73</f>
        <v>571878.5574354839</v>
      </c>
    </row>
    <row r="75" spans="2:8" s="90" customFormat="1" ht="13.5" thickBot="1" x14ac:dyDescent="0.35">
      <c r="B75" s="89"/>
      <c r="C75" s="89"/>
      <c r="D75" s="89"/>
      <c r="E75" s="89"/>
      <c r="F75" s="89"/>
      <c r="G75" s="89"/>
      <c r="H75" s="89"/>
    </row>
    <row r="76" spans="2:8" x14ac:dyDescent="0.3">
      <c r="B76" s="15" t="s">
        <v>22</v>
      </c>
      <c r="C76" s="25" t="s">
        <v>82</v>
      </c>
      <c r="D76" s="25" t="s">
        <v>83</v>
      </c>
      <c r="E76" s="25" t="s">
        <v>84</v>
      </c>
      <c r="F76" s="25" t="s">
        <v>85</v>
      </c>
      <c r="G76" s="105" t="s">
        <v>86</v>
      </c>
      <c r="H76" s="35" t="s">
        <v>89</v>
      </c>
    </row>
    <row r="77" spans="2:8" x14ac:dyDescent="0.3">
      <c r="B77" s="11" t="s">
        <v>91</v>
      </c>
      <c r="C77" s="4">
        <f>C74</f>
        <v>-1500000</v>
      </c>
      <c r="D77" s="4">
        <f t="shared" ref="D77:H77" si="27">D74</f>
        <v>196000</v>
      </c>
      <c r="E77" s="4">
        <f t="shared" si="27"/>
        <v>432560</v>
      </c>
      <c r="F77" s="4">
        <f t="shared" si="27"/>
        <v>513465.3</v>
      </c>
      <c r="G77" s="4">
        <f t="shared" si="27"/>
        <v>541850.85575999995</v>
      </c>
      <c r="H77" s="62">
        <f t="shared" si="27"/>
        <v>571878.5574354839</v>
      </c>
    </row>
    <row r="78" spans="2:8" ht="13.5" thickBot="1" x14ac:dyDescent="0.35">
      <c r="B78" s="80" t="s">
        <v>90</v>
      </c>
      <c r="C78" s="78">
        <f>C77+NPV($H$43,D77:H77)</f>
        <v>247424.76305771153</v>
      </c>
      <c r="D78" s="10"/>
      <c r="E78" s="78"/>
      <c r="F78" s="10"/>
      <c r="G78" s="100"/>
      <c r="H78" s="39"/>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 Cover Page</vt:lpstr>
      <vt:lpstr>ROSI Framework</vt:lpstr>
      <vt:lpstr>1. Profit from resale programs</vt:lpstr>
      <vt:lpstr>2.Supply disruption (take-back)</vt:lpstr>
      <vt:lpstr>3. New purchase sales (resale)</vt:lpstr>
      <vt:lpstr>4. Lower cust acq cost (resale)</vt:lpstr>
      <vt:lpstr>5. Unpaid earned media (resale)</vt:lpstr>
      <vt:lpstr>6.New purchase sales(take-back)</vt:lpstr>
      <vt:lpstr>7. Physical vs. digital samples</vt:lpstr>
      <vt:lpstr>8. Profit from rental program</vt:lpstr>
      <vt:lpstr>9. Profit from repair and ref.</vt:lpstr>
      <vt:lpstr>10. New purchase sales (rental)</vt:lpstr>
      <vt:lpstr>11.New purchase sales (rep,ref)</vt:lpstr>
      <vt:lpstr>12. Invest in impr e-commerce</vt:lpstr>
      <vt:lpstr>CBM Example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Rithu Raman</dc:creator>
  <cp:lastModifiedBy>Rithu Raman</cp:lastModifiedBy>
  <dcterms:created xsi:type="dcterms:W3CDTF">2020-08-20T03:41:28Z</dcterms:created>
  <dcterms:modified xsi:type="dcterms:W3CDTF">2020-11-20T15:47:15Z</dcterms:modified>
</cp:coreProperties>
</file>